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autoCompressPictures="0"/>
  <mc:AlternateContent xmlns:mc="http://schemas.openxmlformats.org/markup-compatibility/2006">
    <mc:Choice Requires="x15">
      <x15ac:absPath xmlns:x15ac="http://schemas.microsoft.com/office/spreadsheetml/2010/11/ac" url="V:\5-Conflict Minerals\2020 Conflict Minerals\"/>
    </mc:Choice>
  </mc:AlternateContent>
  <xr:revisionPtr revIDLastSave="0" documentId="13_ncr:1_{EA067BEC-5510-48FB-A3AF-DED7DB29CEC9}" xr6:coauthVersionLast="45" xr6:coauthVersionMax="45" xr10:uidLastSave="{00000000-0000-0000-0000-000000000000}"/>
  <workbookProtection workbookAlgorithmName="SHA-512" workbookHashValue="FDm0YVlRHuvuR7ASQJ7z4n/c8bI9AuIKyHf8ujFWtWUkp7+Xm6/f03FyvVRZ4GAgW7GEWKWltQSnVHknWKh2BA==" workbookSaltValue="EX+GsGCD48ANiKbfOQgmtw==" workbookSpinCount="100000" lockStructure="1"/>
  <bookViews>
    <workbookView xWindow="-120" yWindow="-120" windowWidth="20730" windowHeight="11310" tabRatio="789" firstSheet="2"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Connors, Jared M - Personal View" guid="{81CF54B1-70AB-4A68-BB72-21925B5D4874}" mergeInterval="0" personalView="1" maximized="1" xWindow="1" yWindow="1" windowWidth="1436" windowHeight="673" tabRatio="675" activeSheetId="4"/>
    <customWorkbookView name="Gavin Wu - Personal View" guid="{51531B83-BDD7-4890-A744-04812A317369}" mergeInterval="0" personalView="1" xWindow="52" yWindow="68" windowWidth="1395" windowHeight="726" tabRatio="789"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G4" i="6"/>
  <c r="H4" i="6" s="1"/>
  <c r="B4" i="6"/>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AB2465" i="5" s="1"/>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V2433" i="5"/>
  <c r="H2433" i="5" s="1"/>
  <c r="C2433" i="5"/>
  <c r="B2433" i="5"/>
  <c r="S2433" i="5" s="1"/>
  <c r="C2432" i="5"/>
  <c r="B2432" i="5"/>
  <c r="T2432" i="5" s="1"/>
  <c r="C2431" i="5"/>
  <c r="B2431" i="5"/>
  <c r="S2431" i="5" s="1"/>
  <c r="C2430" i="5"/>
  <c r="B2430" i="5"/>
  <c r="T2430" i="5" s="1"/>
  <c r="C2429" i="5"/>
  <c r="V2429" i="5" s="1"/>
  <c r="B2429" i="5"/>
  <c r="S2429" i="5" s="1"/>
  <c r="S2428" i="5"/>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AB2413" i="5"/>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AB2402" i="5" s="1"/>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V2355" i="5"/>
  <c r="E2355" i="5" s="1"/>
  <c r="X2355" i="5" s="1"/>
  <c r="C2355" i="5"/>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T2317" i="5"/>
  <c r="C2317" i="5"/>
  <c r="B2317" i="5"/>
  <c r="S2317" i="5" s="1"/>
  <c r="C2316" i="5"/>
  <c r="V2316" i="5" s="1"/>
  <c r="B2316" i="5"/>
  <c r="C2315" i="5"/>
  <c r="B2315" i="5"/>
  <c r="S2314" i="5"/>
  <c r="C2314" i="5"/>
  <c r="V2314" i="5" s="1"/>
  <c r="J2314" i="5" s="1"/>
  <c r="B2314" i="5"/>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T2248" i="5"/>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T2193" i="5"/>
  <c r="C2193" i="5"/>
  <c r="V2193" i="5" s="1"/>
  <c r="B2193" i="5"/>
  <c r="C2192" i="5"/>
  <c r="B2192" i="5"/>
  <c r="T2192" i="5" s="1"/>
  <c r="C2191" i="5"/>
  <c r="V2191" i="5" s="1"/>
  <c r="R2191" i="5" s="1"/>
  <c r="B2191" i="5"/>
  <c r="C2190" i="5"/>
  <c r="V2190" i="5" s="1"/>
  <c r="I2190" i="5" s="1"/>
  <c r="B2190" i="5"/>
  <c r="C2189" i="5"/>
  <c r="B2189" i="5"/>
  <c r="S2189" i="5" s="1"/>
  <c r="T2188" i="5"/>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T2163"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S2140" i="5"/>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T2133"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AB2088" i="5" s="1"/>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S2075" i="5"/>
  <c r="C2075" i="5"/>
  <c r="V2075" i="5" s="1"/>
  <c r="E2075" i="5" s="1"/>
  <c r="X2075" i="5" s="1"/>
  <c r="B2075" i="5"/>
  <c r="C2074" i="5"/>
  <c r="B2074" i="5"/>
  <c r="T2074" i="5" s="1"/>
  <c r="C2073" i="5"/>
  <c r="V2073" i="5" s="1"/>
  <c r="B2073" i="5"/>
  <c r="AB2073" i="5" s="1"/>
  <c r="C2072" i="5"/>
  <c r="V2072" i="5" s="1"/>
  <c r="E2072" i="5" s="1"/>
  <c r="X2072" i="5" s="1"/>
  <c r="B2072" i="5"/>
  <c r="C2071" i="5"/>
  <c r="B2071" i="5"/>
  <c r="C2070" i="5"/>
  <c r="B2070" i="5"/>
  <c r="S2070" i="5" s="1"/>
  <c r="C2069" i="5"/>
  <c r="B2069" i="5"/>
  <c r="AB2069" i="5" s="1"/>
  <c r="S2068"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T2060"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S2038" i="5"/>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V2027" i="5"/>
  <c r="C2027" i="5"/>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S2015" i="5"/>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F2005" i="5"/>
  <c r="C2005" i="5"/>
  <c r="V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V1987" i="5"/>
  <c r="C1987" i="5"/>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V1905" i="5"/>
  <c r="I1905" i="5" s="1"/>
  <c r="C1905" i="5"/>
  <c r="B1905" i="5"/>
  <c r="S1905" i="5" s="1"/>
  <c r="C1904" i="5"/>
  <c r="B1904" i="5"/>
  <c r="T1904" i="5" s="1"/>
  <c r="I1903" i="5"/>
  <c r="C1903" i="5"/>
  <c r="V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S1891" i="5"/>
  <c r="C1891" i="5"/>
  <c r="V1891" i="5" s="1"/>
  <c r="B1891" i="5"/>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T1883" i="5"/>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V1871" i="5"/>
  <c r="C1871" i="5"/>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V1836" i="5"/>
  <c r="E1836" i="5" s="1"/>
  <c r="C1836" i="5"/>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T1823" i="5"/>
  <c r="C1823" i="5"/>
  <c r="V1823" i="5" s="1"/>
  <c r="B1823" i="5"/>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T1814" i="5"/>
  <c r="C1814" i="5"/>
  <c r="AB1814" i="5" s="1"/>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T1781"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V1773" i="5"/>
  <c r="C1773" i="5"/>
  <c r="B1773" i="5"/>
  <c r="S1773" i="5" s="1"/>
  <c r="C1772" i="5"/>
  <c r="B1772" i="5"/>
  <c r="S1772" i="5" s="1"/>
  <c r="C1771" i="5"/>
  <c r="B1771" i="5"/>
  <c r="S1770"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AB1757" i="5"/>
  <c r="C1757" i="5"/>
  <c r="V1757" i="5" s="1"/>
  <c r="B1757" i="5"/>
  <c r="T1757" i="5" s="1"/>
  <c r="C1756" i="5"/>
  <c r="V1756" i="5" s="1"/>
  <c r="B1756" i="5"/>
  <c r="S1756" i="5" s="1"/>
  <c r="C1755" i="5"/>
  <c r="B1755" i="5"/>
  <c r="T1755" i="5" s="1"/>
  <c r="S1754" i="5"/>
  <c r="C1754" i="5"/>
  <c r="B1754" i="5"/>
  <c r="T1754" i="5" s="1"/>
  <c r="C1753" i="5"/>
  <c r="V1753" i="5" s="1"/>
  <c r="B1753" i="5"/>
  <c r="C1752" i="5"/>
  <c r="V1752" i="5" s="1"/>
  <c r="B1752" i="5"/>
  <c r="T1752" i="5" s="1"/>
  <c r="C1751" i="5"/>
  <c r="V1751" i="5" s="1"/>
  <c r="B1751" i="5"/>
  <c r="C1750" i="5"/>
  <c r="B1750" i="5"/>
  <c r="T1750" i="5" s="1"/>
  <c r="C1749" i="5"/>
  <c r="V1749" i="5" s="1"/>
  <c r="B1749" i="5"/>
  <c r="T1749" i="5" s="1"/>
  <c r="S1748" i="5"/>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AB1731" i="5" s="1"/>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AB1691" i="5" s="1"/>
  <c r="C1690" i="5"/>
  <c r="B1690" i="5"/>
  <c r="C1689" i="5"/>
  <c r="V1689" i="5" s="1"/>
  <c r="I1689" i="5" s="1"/>
  <c r="B1689" i="5"/>
  <c r="T1689" i="5" s="1"/>
  <c r="C1688" i="5"/>
  <c r="B1688" i="5"/>
  <c r="T1688" i="5" s="1"/>
  <c r="C1687" i="5"/>
  <c r="B1687" i="5"/>
  <c r="C1686" i="5"/>
  <c r="B1686" i="5"/>
  <c r="C1685" i="5"/>
  <c r="V1685" i="5" s="1"/>
  <c r="E1685" i="5" s="1"/>
  <c r="X1685" i="5" s="1"/>
  <c r="B1685" i="5"/>
  <c r="T1685" i="5" s="1"/>
  <c r="T1684" i="5"/>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T1675" i="5"/>
  <c r="C1675" i="5"/>
  <c r="B1675" i="5"/>
  <c r="S1675" i="5" s="1"/>
  <c r="C1674" i="5"/>
  <c r="B1674" i="5"/>
  <c r="C1673" i="5"/>
  <c r="B1673" i="5"/>
  <c r="T1673" i="5" s="1"/>
  <c r="C1672" i="5"/>
  <c r="AB1672" i="5" s="1"/>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V1648" i="5"/>
  <c r="C1648" i="5"/>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T1624" i="5"/>
  <c r="C1624" i="5"/>
  <c r="AB1624" i="5" s="1"/>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V1597" i="5"/>
  <c r="I1597" i="5" s="1"/>
  <c r="C1597" i="5"/>
  <c r="B1597" i="5"/>
  <c r="S1596" i="5"/>
  <c r="C1596" i="5"/>
  <c r="B1596" i="5"/>
  <c r="T1596" i="5" s="1"/>
  <c r="C1595" i="5"/>
  <c r="B1595" i="5"/>
  <c r="C1594" i="5"/>
  <c r="AB1594" i="5" s="1"/>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AB1566" i="5" s="1"/>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T1519" i="5"/>
  <c r="C1519" i="5"/>
  <c r="V1519" i="5" s="1"/>
  <c r="I1519" i="5" s="1"/>
  <c r="B1519" i="5"/>
  <c r="S1519" i="5" s="1"/>
  <c r="C1518" i="5"/>
  <c r="V1518" i="5" s="1"/>
  <c r="R1518" i="5" s="1"/>
  <c r="B1518" i="5"/>
  <c r="C1517" i="5"/>
  <c r="B1517" i="5"/>
  <c r="T1517" i="5" s="1"/>
  <c r="S1516" i="5"/>
  <c r="C1516" i="5"/>
  <c r="B1516" i="5"/>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T1491" i="5"/>
  <c r="S1491" i="5"/>
  <c r="C1491" i="5"/>
  <c r="V1491" i="5" s="1"/>
  <c r="J1491" i="5" s="1"/>
  <c r="B1491" i="5"/>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E1479" i="5"/>
  <c r="X1479" i="5" s="1"/>
  <c r="C1479" i="5"/>
  <c r="V1479" i="5" s="1"/>
  <c r="I1479" i="5" s="1"/>
  <c r="B1479" i="5"/>
  <c r="S1479" i="5" s="1"/>
  <c r="C1478" i="5"/>
  <c r="V1478" i="5" s="1"/>
  <c r="H1478" i="5" s="1"/>
  <c r="B1478" i="5"/>
  <c r="S1477"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R1470" i="5"/>
  <c r="C1470" i="5"/>
  <c r="V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S1465" i="5"/>
  <c r="C1465" i="5"/>
  <c r="V1465" i="5" s="1"/>
  <c r="B1465" i="5"/>
  <c r="T1465" i="5" s="1"/>
  <c r="C1464" i="5"/>
  <c r="B1464" i="5"/>
  <c r="S1464" i="5" s="1"/>
  <c r="C1463" i="5"/>
  <c r="V1463" i="5" s="1"/>
  <c r="B1463" i="5"/>
  <c r="AB1463" i="5" s="1"/>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S1448" i="5"/>
  <c r="C1448" i="5"/>
  <c r="V1448" i="5" s="1"/>
  <c r="I1448" i="5" s="1"/>
  <c r="B1448" i="5"/>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AB1437" i="5" s="1"/>
  <c r="B1437" i="5"/>
  <c r="T1437" i="5" s="1"/>
  <c r="C1436" i="5"/>
  <c r="B1436" i="5"/>
  <c r="T1435"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V1422" i="5"/>
  <c r="C1422" i="5"/>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T1407" i="5"/>
  <c r="C1407" i="5"/>
  <c r="B1407" i="5"/>
  <c r="S1407" i="5" s="1"/>
  <c r="C1406" i="5"/>
  <c r="V1406" i="5" s="1"/>
  <c r="B1406" i="5"/>
  <c r="S1406" i="5" s="1"/>
  <c r="C1405" i="5"/>
  <c r="B1405" i="5"/>
  <c r="S1405" i="5" s="1"/>
  <c r="C1404" i="5"/>
  <c r="B1404" i="5"/>
  <c r="C1403" i="5"/>
  <c r="B1403" i="5"/>
  <c r="C1402" i="5"/>
  <c r="V1402" i="5" s="1"/>
  <c r="R1402" i="5" s="1"/>
  <c r="B1402" i="5"/>
  <c r="C1401" i="5"/>
  <c r="AB1401" i="5" s="1"/>
  <c r="B1401" i="5"/>
  <c r="T1401" i="5" s="1"/>
  <c r="C1400" i="5"/>
  <c r="B1400" i="5"/>
  <c r="C1399" i="5"/>
  <c r="B1399" i="5"/>
  <c r="S1398" i="5"/>
  <c r="C1398" i="5"/>
  <c r="B1398" i="5"/>
  <c r="T1398" i="5" s="1"/>
  <c r="C1397" i="5"/>
  <c r="V1397" i="5" s="1"/>
  <c r="B1397" i="5"/>
  <c r="C1396" i="5"/>
  <c r="V1396" i="5" s="1"/>
  <c r="H1396" i="5" s="1"/>
  <c r="B1396" i="5"/>
  <c r="T1396" i="5" s="1"/>
  <c r="S1395" i="5"/>
  <c r="C1395" i="5"/>
  <c r="V1395" i="5" s="1"/>
  <c r="R1395" i="5" s="1"/>
  <c r="B1395" i="5"/>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T1382" i="5"/>
  <c r="C1382" i="5"/>
  <c r="B1382" i="5"/>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AB1353" i="5" s="1"/>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AB1293" i="5" s="1"/>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T1253" i="5"/>
  <c r="C1253" i="5"/>
  <c r="B1253" i="5"/>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T1244" i="5"/>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S1235" i="5"/>
  <c r="C1235" i="5"/>
  <c r="B1235" i="5"/>
  <c r="C1234" i="5"/>
  <c r="B1234" i="5"/>
  <c r="C1233" i="5"/>
  <c r="B1233" i="5"/>
  <c r="S1233" i="5" s="1"/>
  <c r="S1232" i="5"/>
  <c r="C1232" i="5"/>
  <c r="V1232" i="5" s="1"/>
  <c r="B1232" i="5"/>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J1186" i="5"/>
  <c r="C1186" i="5"/>
  <c r="V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AB1140" i="5" s="1"/>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AB1115" i="5" s="1"/>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T1098" i="5"/>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T1078" i="5"/>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AB1071" i="5" s="1"/>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AB1022" i="5" s="1"/>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S1000"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V962" i="5"/>
  <c r="C962" i="5"/>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V951" i="5"/>
  <c r="C951" i="5"/>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V941" i="5"/>
  <c r="C941" i="5"/>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S918"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S903" i="5"/>
  <c r="C903" i="5"/>
  <c r="B903" i="5"/>
  <c r="T903" i="5" s="1"/>
  <c r="C902" i="5"/>
  <c r="AB902" i="5" s="1"/>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S858" i="5"/>
  <c r="C858" i="5"/>
  <c r="AB858" i="5" s="1"/>
  <c r="B858" i="5"/>
  <c r="T858" i="5" s="1"/>
  <c r="C857" i="5"/>
  <c r="V857" i="5" s="1"/>
  <c r="J857" i="5" s="1"/>
  <c r="B857" i="5"/>
  <c r="C856" i="5"/>
  <c r="B856" i="5"/>
  <c r="T856" i="5" s="1"/>
  <c r="C855" i="5"/>
  <c r="V855" i="5" s="1"/>
  <c r="J855" i="5" s="1"/>
  <c r="B855" i="5"/>
  <c r="T855" i="5" s="1"/>
  <c r="C854" i="5"/>
  <c r="B854" i="5"/>
  <c r="S853"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AB841" i="5" s="1"/>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T788"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S778"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V744" i="5"/>
  <c r="E744" i="5" s="1"/>
  <c r="C744" i="5"/>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AB720" i="5" s="1"/>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V700" i="5"/>
  <c r="R700" i="5" s="1"/>
  <c r="C700" i="5"/>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T684" i="5"/>
  <c r="C684" i="5"/>
  <c r="B684" i="5"/>
  <c r="S684" i="5" s="1"/>
  <c r="C683" i="5"/>
  <c r="V683" i="5" s="1"/>
  <c r="B683" i="5"/>
  <c r="T683" i="5" s="1"/>
  <c r="C682" i="5"/>
  <c r="V682" i="5" s="1"/>
  <c r="B682" i="5"/>
  <c r="T682" i="5" s="1"/>
  <c r="G681" i="5"/>
  <c r="C681" i="5"/>
  <c r="V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AB674" i="5" s="1"/>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V656" i="5"/>
  <c r="C656" i="5"/>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T645" i="5"/>
  <c r="C645" i="5"/>
  <c r="B645" i="5"/>
  <c r="S645" i="5" s="1"/>
  <c r="C644" i="5"/>
  <c r="B644" i="5"/>
  <c r="T644" i="5" s="1"/>
  <c r="C643" i="5"/>
  <c r="AB643" i="5" s="1"/>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AB630" i="5" s="1"/>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B611" i="5"/>
  <c r="C610" i="5"/>
  <c r="V610" i="5" s="1"/>
  <c r="B610" i="5"/>
  <c r="C609" i="5"/>
  <c r="B609" i="5"/>
  <c r="S609" i="5" s="1"/>
  <c r="C608" i="5"/>
  <c r="B608" i="5"/>
  <c r="T608" i="5" s="1"/>
  <c r="C607" i="5"/>
  <c r="B607" i="5"/>
  <c r="T607" i="5" s="1"/>
  <c r="C606" i="5"/>
  <c r="V606" i="5" s="1"/>
  <c r="B606" i="5"/>
  <c r="C605" i="5"/>
  <c r="B605" i="5"/>
  <c r="C604" i="5"/>
  <c r="V604" i="5" s="1"/>
  <c r="J604" i="5" s="1"/>
  <c r="B604" i="5"/>
  <c r="T604" i="5" s="1"/>
  <c r="C603" i="5"/>
  <c r="B603" i="5"/>
  <c r="T603" i="5" s="1"/>
  <c r="C602" i="5"/>
  <c r="B602" i="5"/>
  <c r="C601" i="5"/>
  <c r="B601" i="5"/>
  <c r="C600" i="5"/>
  <c r="B600" i="5"/>
  <c r="T600" i="5" s="1"/>
  <c r="C599" i="5"/>
  <c r="B599" i="5"/>
  <c r="S599" i="5" s="1"/>
  <c r="C598" i="5"/>
  <c r="V598" i="5" s="1"/>
  <c r="G598" i="5" s="1"/>
  <c r="B598" i="5"/>
  <c r="C597" i="5"/>
  <c r="B597" i="5"/>
  <c r="T597" i="5" s="1"/>
  <c r="C596" i="5"/>
  <c r="B596" i="5"/>
  <c r="C595" i="5"/>
  <c r="B595" i="5"/>
  <c r="C594" i="5"/>
  <c r="V594" i="5" s="1"/>
  <c r="B594" i="5"/>
  <c r="AB594" i="5" s="1"/>
  <c r="C593" i="5"/>
  <c r="B593" i="5"/>
  <c r="T593" i="5" s="1"/>
  <c r="C592" i="5"/>
  <c r="B592" i="5"/>
  <c r="C591" i="5"/>
  <c r="B591" i="5"/>
  <c r="C590" i="5"/>
  <c r="V590" i="5" s="1"/>
  <c r="G590" i="5" s="1"/>
  <c r="B590" i="5"/>
  <c r="C589" i="5"/>
  <c r="B589" i="5"/>
  <c r="C588" i="5"/>
  <c r="B588" i="5"/>
  <c r="C587" i="5"/>
  <c r="B587" i="5"/>
  <c r="S587" i="5" s="1"/>
  <c r="C586" i="5"/>
  <c r="V586" i="5" s="1"/>
  <c r="B586" i="5"/>
  <c r="T585" i="5"/>
  <c r="C585" i="5"/>
  <c r="B585" i="5"/>
  <c r="S585" i="5" s="1"/>
  <c r="C584" i="5"/>
  <c r="V584" i="5" s="1"/>
  <c r="B584" i="5"/>
  <c r="C583" i="5"/>
  <c r="B583" i="5"/>
  <c r="T583" i="5" s="1"/>
  <c r="C582" i="5"/>
  <c r="V582" i="5" s="1"/>
  <c r="B582" i="5"/>
  <c r="C581" i="5"/>
  <c r="B581" i="5"/>
  <c r="C580" i="5"/>
  <c r="B580" i="5"/>
  <c r="C579" i="5"/>
  <c r="B579" i="5"/>
  <c r="AB579" i="5" s="1"/>
  <c r="C578" i="5"/>
  <c r="B578" i="5"/>
  <c r="C577" i="5"/>
  <c r="B577" i="5"/>
  <c r="T577" i="5" s="1"/>
  <c r="C576" i="5"/>
  <c r="B576" i="5"/>
  <c r="C575" i="5"/>
  <c r="B575" i="5"/>
  <c r="T575" i="5" s="1"/>
  <c r="C574" i="5"/>
  <c r="B574" i="5"/>
  <c r="C573" i="5"/>
  <c r="B573" i="5"/>
  <c r="C572" i="5"/>
  <c r="V572" i="5" s="1"/>
  <c r="J572" i="5" s="1"/>
  <c r="B572" i="5"/>
  <c r="C571" i="5"/>
  <c r="B571" i="5"/>
  <c r="S571" i="5" s="1"/>
  <c r="C570" i="5"/>
  <c r="V570" i="5" s="1"/>
  <c r="R570" i="5" s="1"/>
  <c r="B570" i="5"/>
  <c r="C569" i="5"/>
  <c r="B569" i="5"/>
  <c r="T569" i="5" s="1"/>
  <c r="C568" i="5"/>
  <c r="V568" i="5" s="1"/>
  <c r="F568" i="5" s="1"/>
  <c r="B568" i="5"/>
  <c r="C567" i="5"/>
  <c r="B567" i="5"/>
  <c r="S567" i="5" s="1"/>
  <c r="C566" i="5"/>
  <c r="V566" i="5" s="1"/>
  <c r="B566" i="5"/>
  <c r="C565" i="5"/>
  <c r="B565" i="5"/>
  <c r="C564" i="5"/>
  <c r="V564" i="5" s="1"/>
  <c r="B564" i="5"/>
  <c r="C563" i="5"/>
  <c r="V563" i="5" s="1"/>
  <c r="I563" i="5" s="1"/>
  <c r="B563" i="5"/>
  <c r="T563" i="5" s="1"/>
  <c r="C562" i="5"/>
  <c r="B562" i="5"/>
  <c r="S562" i="5" s="1"/>
  <c r="C561" i="5"/>
  <c r="B561" i="5"/>
  <c r="T561" i="5" s="1"/>
  <c r="C560" i="5"/>
  <c r="V560" i="5" s="1"/>
  <c r="G560" i="5" s="1"/>
  <c r="B560" i="5"/>
  <c r="C559" i="5"/>
  <c r="V559" i="5" s="1"/>
  <c r="I559" i="5" s="1"/>
  <c r="B559" i="5"/>
  <c r="T559" i="5" s="1"/>
  <c r="C558" i="5"/>
  <c r="V558" i="5" s="1"/>
  <c r="R558" i="5" s="1"/>
  <c r="B558" i="5"/>
  <c r="S558" i="5" s="1"/>
  <c r="C557" i="5"/>
  <c r="B557" i="5"/>
  <c r="T557" i="5" s="1"/>
  <c r="C556" i="5"/>
  <c r="B556" i="5"/>
  <c r="C555" i="5"/>
  <c r="V555" i="5" s="1"/>
  <c r="I555" i="5" s="1"/>
  <c r="B555" i="5"/>
  <c r="C554" i="5"/>
  <c r="B554" i="5"/>
  <c r="S554" i="5" s="1"/>
  <c r="C553" i="5"/>
  <c r="B553" i="5"/>
  <c r="V552" i="5"/>
  <c r="C552" i="5"/>
  <c r="B552" i="5"/>
  <c r="AB552" i="5" s="1"/>
  <c r="C551" i="5"/>
  <c r="V551" i="5" s="1"/>
  <c r="B551" i="5"/>
  <c r="G550" i="5"/>
  <c r="C550" i="5"/>
  <c r="V550" i="5" s="1"/>
  <c r="R550" i="5" s="1"/>
  <c r="B550" i="5"/>
  <c r="S550" i="5" s="1"/>
  <c r="C549" i="5"/>
  <c r="B549" i="5"/>
  <c r="T549" i="5" s="1"/>
  <c r="C548" i="5"/>
  <c r="V548" i="5" s="1"/>
  <c r="R548" i="5" s="1"/>
  <c r="B548" i="5"/>
  <c r="C547" i="5"/>
  <c r="V547" i="5" s="1"/>
  <c r="I547" i="5" s="1"/>
  <c r="B547" i="5"/>
  <c r="C546" i="5"/>
  <c r="V546" i="5" s="1"/>
  <c r="R546" i="5" s="1"/>
  <c r="B546" i="5"/>
  <c r="S546" i="5" s="1"/>
  <c r="C545" i="5"/>
  <c r="B545" i="5"/>
  <c r="C544" i="5"/>
  <c r="V544" i="5" s="1"/>
  <c r="B544" i="5"/>
  <c r="C543" i="5"/>
  <c r="V543" i="5" s="1"/>
  <c r="B543" i="5"/>
  <c r="C542" i="5"/>
  <c r="V542" i="5" s="1"/>
  <c r="B542" i="5"/>
  <c r="S542" i="5" s="1"/>
  <c r="C541" i="5"/>
  <c r="B541" i="5"/>
  <c r="T541" i="5" s="1"/>
  <c r="C540" i="5"/>
  <c r="V540" i="5" s="1"/>
  <c r="B540" i="5"/>
  <c r="C539" i="5"/>
  <c r="V539" i="5" s="1"/>
  <c r="B539" i="5"/>
  <c r="T539" i="5" s="1"/>
  <c r="C538" i="5"/>
  <c r="B538" i="5"/>
  <c r="S538" i="5" s="1"/>
  <c r="C537" i="5"/>
  <c r="B537" i="5"/>
  <c r="S537" i="5" s="1"/>
  <c r="C536" i="5"/>
  <c r="V536" i="5" s="1"/>
  <c r="J536" i="5" s="1"/>
  <c r="B536" i="5"/>
  <c r="C535" i="5"/>
  <c r="V535" i="5" s="1"/>
  <c r="I535" i="5" s="1"/>
  <c r="B535" i="5"/>
  <c r="C534" i="5"/>
  <c r="B534" i="5"/>
  <c r="S534" i="5" s="1"/>
  <c r="C533" i="5"/>
  <c r="B533" i="5"/>
  <c r="C532" i="5"/>
  <c r="V532" i="5" s="1"/>
  <c r="B532" i="5"/>
  <c r="C531" i="5"/>
  <c r="V531" i="5" s="1"/>
  <c r="B531" i="5"/>
  <c r="C530" i="5"/>
  <c r="V530" i="5" s="1"/>
  <c r="R530" i="5" s="1"/>
  <c r="B530" i="5"/>
  <c r="S530" i="5" s="1"/>
  <c r="C529" i="5"/>
  <c r="B529" i="5"/>
  <c r="R528" i="5"/>
  <c r="C528" i="5"/>
  <c r="V528" i="5" s="1"/>
  <c r="H528" i="5" s="1"/>
  <c r="B528" i="5"/>
  <c r="C527" i="5"/>
  <c r="V527" i="5" s="1"/>
  <c r="H527" i="5" s="1"/>
  <c r="B527" i="5"/>
  <c r="C526" i="5"/>
  <c r="V526" i="5" s="1"/>
  <c r="B526" i="5"/>
  <c r="C525" i="5"/>
  <c r="B525" i="5"/>
  <c r="S525" i="5" s="1"/>
  <c r="C524" i="5"/>
  <c r="B524" i="5"/>
  <c r="C523" i="5"/>
  <c r="V523" i="5" s="1"/>
  <c r="I523" i="5" s="1"/>
  <c r="B523" i="5"/>
  <c r="C522" i="5"/>
  <c r="B522" i="5"/>
  <c r="S522" i="5" s="1"/>
  <c r="C521" i="5"/>
  <c r="B521" i="5"/>
  <c r="S521" i="5" s="1"/>
  <c r="C520" i="5"/>
  <c r="V520" i="5" s="1"/>
  <c r="B520" i="5"/>
  <c r="C519" i="5"/>
  <c r="V519" i="5" s="1"/>
  <c r="I519" i="5" s="1"/>
  <c r="B519" i="5"/>
  <c r="C518" i="5"/>
  <c r="B518" i="5"/>
  <c r="S518" i="5" s="1"/>
  <c r="C517" i="5"/>
  <c r="B517" i="5"/>
  <c r="T517" i="5" s="1"/>
  <c r="C516" i="5"/>
  <c r="V516" i="5" s="1"/>
  <c r="B516" i="5"/>
  <c r="S515" i="5"/>
  <c r="C515" i="5"/>
  <c r="V515" i="5" s="1"/>
  <c r="B515" i="5"/>
  <c r="T515" i="5" s="1"/>
  <c r="C514" i="5"/>
  <c r="V514" i="5" s="1"/>
  <c r="R514" i="5" s="1"/>
  <c r="B514" i="5"/>
  <c r="S514" i="5" s="1"/>
  <c r="C513" i="5"/>
  <c r="B513" i="5"/>
  <c r="T513" i="5" s="1"/>
  <c r="C512" i="5"/>
  <c r="V512" i="5" s="1"/>
  <c r="B512" i="5"/>
  <c r="C511" i="5"/>
  <c r="V511" i="5" s="1"/>
  <c r="I511" i="5" s="1"/>
  <c r="B511" i="5"/>
  <c r="C510" i="5"/>
  <c r="V510" i="5" s="1"/>
  <c r="B510" i="5"/>
  <c r="C509" i="5"/>
  <c r="B509" i="5"/>
  <c r="T509" i="5" s="1"/>
  <c r="C508" i="5"/>
  <c r="V508" i="5" s="1"/>
  <c r="B508" i="5"/>
  <c r="C507" i="5"/>
  <c r="V507" i="5" s="1"/>
  <c r="B507" i="5"/>
  <c r="T507" i="5" s="1"/>
  <c r="C506" i="5"/>
  <c r="B506" i="5"/>
  <c r="S506" i="5" s="1"/>
  <c r="C505" i="5"/>
  <c r="B505" i="5"/>
  <c r="S505" i="5" s="1"/>
  <c r="C504" i="5"/>
  <c r="V504" i="5" s="1"/>
  <c r="J504" i="5" s="1"/>
  <c r="B504" i="5"/>
  <c r="C503" i="5"/>
  <c r="V503" i="5" s="1"/>
  <c r="I503" i="5" s="1"/>
  <c r="B503" i="5"/>
  <c r="T503" i="5" s="1"/>
  <c r="C502" i="5"/>
  <c r="B502" i="5"/>
  <c r="S502" i="5" s="1"/>
  <c r="C501" i="5"/>
  <c r="B501" i="5"/>
  <c r="S501" i="5" s="1"/>
  <c r="C500" i="5"/>
  <c r="V500" i="5" s="1"/>
  <c r="R500" i="5" s="1"/>
  <c r="B500" i="5"/>
  <c r="C499" i="5"/>
  <c r="V499" i="5" s="1"/>
  <c r="B499" i="5"/>
  <c r="C498" i="5"/>
  <c r="V498" i="5" s="1"/>
  <c r="R498" i="5" s="1"/>
  <c r="B498" i="5"/>
  <c r="S498" i="5" s="1"/>
  <c r="C497" i="5"/>
  <c r="B497" i="5"/>
  <c r="S497" i="5" s="1"/>
  <c r="C496" i="5"/>
  <c r="B496" i="5"/>
  <c r="C495" i="5"/>
  <c r="V495" i="5" s="1"/>
  <c r="I495" i="5" s="1"/>
  <c r="B495" i="5"/>
  <c r="T495" i="5" s="1"/>
  <c r="C494" i="5"/>
  <c r="V494" i="5" s="1"/>
  <c r="B494" i="5"/>
  <c r="C493" i="5"/>
  <c r="B493" i="5"/>
  <c r="T493" i="5" s="1"/>
  <c r="C492" i="5"/>
  <c r="V492" i="5" s="1"/>
  <c r="B492" i="5"/>
  <c r="C491" i="5"/>
  <c r="V491" i="5" s="1"/>
  <c r="I491" i="5" s="1"/>
  <c r="B491" i="5"/>
  <c r="T491" i="5" s="1"/>
  <c r="C490" i="5"/>
  <c r="B490" i="5"/>
  <c r="S490" i="5" s="1"/>
  <c r="C489" i="5"/>
  <c r="B489" i="5"/>
  <c r="T489" i="5" s="1"/>
  <c r="C488" i="5"/>
  <c r="V488" i="5" s="1"/>
  <c r="J488" i="5" s="1"/>
  <c r="B488" i="5"/>
  <c r="AB488" i="5" s="1"/>
  <c r="C487" i="5"/>
  <c r="V487" i="5" s="1"/>
  <c r="B487" i="5"/>
  <c r="T487" i="5" s="1"/>
  <c r="C486" i="5"/>
  <c r="B486" i="5"/>
  <c r="S486" i="5" s="1"/>
  <c r="C485" i="5"/>
  <c r="B485" i="5"/>
  <c r="T485" i="5" s="1"/>
  <c r="C484" i="5"/>
  <c r="V484" i="5" s="1"/>
  <c r="R484" i="5" s="1"/>
  <c r="B484" i="5"/>
  <c r="C483" i="5"/>
  <c r="V483" i="5" s="1"/>
  <c r="B483" i="5"/>
  <c r="C482" i="5"/>
  <c r="V482" i="5" s="1"/>
  <c r="R482" i="5" s="1"/>
  <c r="B482" i="5"/>
  <c r="S482" i="5" s="1"/>
  <c r="C481" i="5"/>
  <c r="AB481" i="5" s="1"/>
  <c r="B481" i="5"/>
  <c r="T481" i="5" s="1"/>
  <c r="R480" i="5"/>
  <c r="C480" i="5"/>
  <c r="V480" i="5" s="1"/>
  <c r="H480" i="5" s="1"/>
  <c r="B480" i="5"/>
  <c r="C479" i="5"/>
  <c r="V479" i="5" s="1"/>
  <c r="B479" i="5"/>
  <c r="T479" i="5" s="1"/>
  <c r="C478" i="5"/>
  <c r="V478" i="5" s="1"/>
  <c r="B478" i="5"/>
  <c r="C477" i="5"/>
  <c r="B477" i="5"/>
  <c r="C476" i="5"/>
  <c r="V476" i="5" s="1"/>
  <c r="R476" i="5" s="1"/>
  <c r="B476" i="5"/>
  <c r="C475" i="5"/>
  <c r="B475" i="5"/>
  <c r="C474" i="5"/>
  <c r="B474" i="5"/>
  <c r="S474" i="5" s="1"/>
  <c r="C473" i="5"/>
  <c r="B473" i="5"/>
  <c r="C472" i="5"/>
  <c r="B472" i="5"/>
  <c r="C471" i="5"/>
  <c r="V471" i="5" s="1"/>
  <c r="B471" i="5"/>
  <c r="C470" i="5"/>
  <c r="V470" i="5" s="1"/>
  <c r="B470" i="5"/>
  <c r="C469" i="5"/>
  <c r="B469" i="5"/>
  <c r="C468" i="5"/>
  <c r="V468" i="5" s="1"/>
  <c r="B468" i="5"/>
  <c r="C467" i="5"/>
  <c r="B467" i="5"/>
  <c r="C466" i="5"/>
  <c r="B466" i="5"/>
  <c r="S466" i="5" s="1"/>
  <c r="C465" i="5"/>
  <c r="B465" i="5"/>
  <c r="T465" i="5" s="1"/>
  <c r="C464" i="5"/>
  <c r="V464" i="5" s="1"/>
  <c r="B464" i="5"/>
  <c r="T464" i="5" s="1"/>
  <c r="C463" i="5"/>
  <c r="B463" i="5"/>
  <c r="T463" i="5" s="1"/>
  <c r="C462" i="5"/>
  <c r="B462" i="5"/>
  <c r="C461" i="5"/>
  <c r="V461" i="5" s="1"/>
  <c r="B461" i="5"/>
  <c r="T461" i="5" s="1"/>
  <c r="C460" i="5"/>
  <c r="B460" i="5"/>
  <c r="T460" i="5" s="1"/>
  <c r="C459" i="5"/>
  <c r="V459" i="5" s="1"/>
  <c r="B459" i="5"/>
  <c r="C458" i="5"/>
  <c r="B458" i="5"/>
  <c r="S458" i="5" s="1"/>
  <c r="C457" i="5"/>
  <c r="V457" i="5" s="1"/>
  <c r="H457" i="5" s="1"/>
  <c r="B457" i="5"/>
  <c r="C456" i="5"/>
  <c r="V456" i="5" s="1"/>
  <c r="B456" i="5"/>
  <c r="C455" i="5"/>
  <c r="V455" i="5" s="1"/>
  <c r="B455" i="5"/>
  <c r="C454" i="5"/>
  <c r="B454" i="5"/>
  <c r="T453" i="5"/>
  <c r="C453" i="5"/>
  <c r="V453" i="5" s="1"/>
  <c r="B453" i="5"/>
  <c r="C452" i="5"/>
  <c r="V452" i="5" s="1"/>
  <c r="B452" i="5"/>
  <c r="C451" i="5"/>
  <c r="V451" i="5" s="1"/>
  <c r="B451" i="5"/>
  <c r="S451" i="5" s="1"/>
  <c r="C450" i="5"/>
  <c r="AB450" i="5" s="1"/>
  <c r="B450" i="5"/>
  <c r="T450" i="5" s="1"/>
  <c r="C449" i="5"/>
  <c r="V449" i="5" s="1"/>
  <c r="B449" i="5"/>
  <c r="T449" i="5" s="1"/>
  <c r="C448" i="5"/>
  <c r="V448" i="5" s="1"/>
  <c r="B448" i="5"/>
  <c r="C447" i="5"/>
  <c r="B447" i="5"/>
  <c r="T447" i="5" s="1"/>
  <c r="C446" i="5"/>
  <c r="AB446" i="5" s="1"/>
  <c r="B446" i="5"/>
  <c r="T446" i="5" s="1"/>
  <c r="C445" i="5"/>
  <c r="V445" i="5" s="1"/>
  <c r="F445" i="5" s="1"/>
  <c r="B445" i="5"/>
  <c r="T445" i="5" s="1"/>
  <c r="C444" i="5"/>
  <c r="V444" i="5" s="1"/>
  <c r="F444" i="5" s="1"/>
  <c r="B444" i="5"/>
  <c r="C443" i="5"/>
  <c r="B443" i="5"/>
  <c r="T443" i="5" s="1"/>
  <c r="C442" i="5"/>
  <c r="B442" i="5"/>
  <c r="T442" i="5" s="1"/>
  <c r="C441" i="5"/>
  <c r="V441" i="5" s="1"/>
  <c r="R441" i="5" s="1"/>
  <c r="B441" i="5"/>
  <c r="T441" i="5" s="1"/>
  <c r="C440" i="5"/>
  <c r="V440" i="5" s="1"/>
  <c r="R440" i="5" s="1"/>
  <c r="B440" i="5"/>
  <c r="C439" i="5"/>
  <c r="B439" i="5"/>
  <c r="T439" i="5" s="1"/>
  <c r="C438" i="5"/>
  <c r="B438" i="5"/>
  <c r="T438" i="5" s="1"/>
  <c r="C437" i="5"/>
  <c r="V437" i="5" s="1"/>
  <c r="E437" i="5" s="1"/>
  <c r="X437" i="5" s="1"/>
  <c r="B437" i="5"/>
  <c r="T437" i="5" s="1"/>
  <c r="C436" i="5"/>
  <c r="V436" i="5" s="1"/>
  <c r="B436" i="5"/>
  <c r="C435" i="5"/>
  <c r="B435" i="5"/>
  <c r="T435" i="5" s="1"/>
  <c r="C434" i="5"/>
  <c r="B434" i="5"/>
  <c r="T434" i="5" s="1"/>
  <c r="C433" i="5"/>
  <c r="V433" i="5" s="1"/>
  <c r="R433" i="5" s="1"/>
  <c r="B433" i="5"/>
  <c r="T433" i="5" s="1"/>
  <c r="C432" i="5"/>
  <c r="V432" i="5" s="1"/>
  <c r="R432" i="5" s="1"/>
  <c r="B432" i="5"/>
  <c r="C431" i="5"/>
  <c r="B431" i="5"/>
  <c r="T431" i="5" s="1"/>
  <c r="C430" i="5"/>
  <c r="B430" i="5"/>
  <c r="T430" i="5" s="1"/>
  <c r="C429" i="5"/>
  <c r="V429" i="5" s="1"/>
  <c r="B429" i="5"/>
  <c r="T429" i="5" s="1"/>
  <c r="C428" i="5"/>
  <c r="V428" i="5" s="1"/>
  <c r="B428" i="5"/>
  <c r="C427" i="5"/>
  <c r="B427" i="5"/>
  <c r="T427" i="5" s="1"/>
  <c r="C426" i="5"/>
  <c r="B426" i="5"/>
  <c r="T426" i="5" s="1"/>
  <c r="C425" i="5"/>
  <c r="V425" i="5" s="1"/>
  <c r="R425" i="5" s="1"/>
  <c r="B425" i="5"/>
  <c r="T425" i="5" s="1"/>
  <c r="C424" i="5"/>
  <c r="V424" i="5" s="1"/>
  <c r="R424" i="5" s="1"/>
  <c r="B424" i="5"/>
  <c r="C423" i="5"/>
  <c r="B423" i="5"/>
  <c r="T423" i="5" s="1"/>
  <c r="C422" i="5"/>
  <c r="B422" i="5"/>
  <c r="T422" i="5" s="1"/>
  <c r="C421" i="5"/>
  <c r="V421" i="5" s="1"/>
  <c r="B421" i="5"/>
  <c r="T421" i="5" s="1"/>
  <c r="C420" i="5"/>
  <c r="V420" i="5" s="1"/>
  <c r="F420" i="5" s="1"/>
  <c r="B420" i="5"/>
  <c r="C419" i="5"/>
  <c r="B419" i="5"/>
  <c r="T419" i="5" s="1"/>
  <c r="C418" i="5"/>
  <c r="B418" i="5"/>
  <c r="T418" i="5" s="1"/>
  <c r="C417" i="5"/>
  <c r="V417" i="5" s="1"/>
  <c r="R417" i="5" s="1"/>
  <c r="B417" i="5"/>
  <c r="T417" i="5" s="1"/>
  <c r="V416" i="5"/>
  <c r="R416" i="5" s="1"/>
  <c r="C416" i="5"/>
  <c r="B416" i="5"/>
  <c r="C415" i="5"/>
  <c r="B415" i="5"/>
  <c r="T415" i="5" s="1"/>
  <c r="S414" i="5"/>
  <c r="C414" i="5"/>
  <c r="B414" i="5"/>
  <c r="T414" i="5" s="1"/>
  <c r="C413" i="5"/>
  <c r="V413" i="5" s="1"/>
  <c r="F413" i="5" s="1"/>
  <c r="B413" i="5"/>
  <c r="T413" i="5" s="1"/>
  <c r="C412" i="5"/>
  <c r="V412" i="5" s="1"/>
  <c r="F412" i="5" s="1"/>
  <c r="B412" i="5"/>
  <c r="C411" i="5"/>
  <c r="B411" i="5"/>
  <c r="T411" i="5" s="1"/>
  <c r="C410" i="5"/>
  <c r="AB410" i="5" s="1"/>
  <c r="B410" i="5"/>
  <c r="T410" i="5" s="1"/>
  <c r="C409" i="5"/>
  <c r="V409" i="5" s="1"/>
  <c r="B409" i="5"/>
  <c r="T409" i="5" s="1"/>
  <c r="C408" i="5"/>
  <c r="V408" i="5" s="1"/>
  <c r="R408" i="5" s="1"/>
  <c r="B408" i="5"/>
  <c r="C407" i="5"/>
  <c r="B407" i="5"/>
  <c r="T407" i="5" s="1"/>
  <c r="C406" i="5"/>
  <c r="B406" i="5"/>
  <c r="T406" i="5" s="1"/>
  <c r="C405" i="5"/>
  <c r="V405" i="5" s="1"/>
  <c r="F405" i="5" s="1"/>
  <c r="B405" i="5"/>
  <c r="T405" i="5" s="1"/>
  <c r="C404" i="5"/>
  <c r="V404" i="5" s="1"/>
  <c r="F404" i="5" s="1"/>
  <c r="B404" i="5"/>
  <c r="C403" i="5"/>
  <c r="B403" i="5"/>
  <c r="T403" i="5" s="1"/>
  <c r="C402" i="5"/>
  <c r="B402" i="5"/>
  <c r="T402" i="5" s="1"/>
  <c r="C401" i="5"/>
  <c r="V401" i="5" s="1"/>
  <c r="B401" i="5"/>
  <c r="T401" i="5" s="1"/>
  <c r="C400" i="5"/>
  <c r="V400" i="5" s="1"/>
  <c r="R400" i="5" s="1"/>
  <c r="B400" i="5"/>
  <c r="C399" i="5"/>
  <c r="V399" i="5" s="1"/>
  <c r="I399" i="5" s="1"/>
  <c r="B399" i="5"/>
  <c r="T399" i="5" s="1"/>
  <c r="C398" i="5"/>
  <c r="B398" i="5"/>
  <c r="C397" i="5"/>
  <c r="V397" i="5" s="1"/>
  <c r="B397" i="5"/>
  <c r="T397" i="5" s="1"/>
  <c r="C396" i="5"/>
  <c r="V396" i="5" s="1"/>
  <c r="B396" i="5"/>
  <c r="C395" i="5"/>
  <c r="B395" i="5"/>
  <c r="C394" i="5"/>
  <c r="B394" i="5"/>
  <c r="S394" i="5" s="1"/>
  <c r="C393" i="5"/>
  <c r="V393" i="5" s="1"/>
  <c r="B393" i="5"/>
  <c r="T393" i="5" s="1"/>
  <c r="C392" i="5"/>
  <c r="V392" i="5" s="1"/>
  <c r="B392" i="5"/>
  <c r="T391" i="5"/>
  <c r="C391" i="5"/>
  <c r="B391" i="5"/>
  <c r="S391" i="5" s="1"/>
  <c r="C390" i="5"/>
  <c r="B390" i="5"/>
  <c r="C389" i="5"/>
  <c r="V389" i="5" s="1"/>
  <c r="B389" i="5"/>
  <c r="T389" i="5" s="1"/>
  <c r="C388" i="5"/>
  <c r="V388" i="5" s="1"/>
  <c r="B388" i="5"/>
  <c r="V387" i="5"/>
  <c r="I387" i="5" s="1"/>
  <c r="C387" i="5"/>
  <c r="B387" i="5"/>
  <c r="T387" i="5" s="1"/>
  <c r="C386" i="5"/>
  <c r="B386" i="5"/>
  <c r="C385" i="5"/>
  <c r="V385" i="5" s="1"/>
  <c r="B385" i="5"/>
  <c r="T385" i="5" s="1"/>
  <c r="C384" i="5"/>
  <c r="V384" i="5" s="1"/>
  <c r="B384" i="5"/>
  <c r="C383" i="5"/>
  <c r="V383" i="5" s="1"/>
  <c r="B383" i="5"/>
  <c r="S383" i="5" s="1"/>
  <c r="C382" i="5"/>
  <c r="B382" i="5"/>
  <c r="T382" i="5" s="1"/>
  <c r="C381" i="5"/>
  <c r="V381" i="5" s="1"/>
  <c r="B381" i="5"/>
  <c r="T381" i="5" s="1"/>
  <c r="C380" i="5"/>
  <c r="V380" i="5" s="1"/>
  <c r="B380" i="5"/>
  <c r="C379" i="5"/>
  <c r="B379" i="5"/>
  <c r="C378" i="5"/>
  <c r="B378" i="5"/>
  <c r="T378" i="5" s="1"/>
  <c r="C377" i="5"/>
  <c r="V377" i="5" s="1"/>
  <c r="E377" i="5" s="1"/>
  <c r="X377" i="5" s="1"/>
  <c r="B377" i="5"/>
  <c r="S377" i="5" s="1"/>
  <c r="C376" i="5"/>
  <c r="V376" i="5" s="1"/>
  <c r="B376" i="5"/>
  <c r="C375" i="5"/>
  <c r="B375" i="5"/>
  <c r="T375" i="5" s="1"/>
  <c r="C374" i="5"/>
  <c r="B374" i="5"/>
  <c r="C373" i="5"/>
  <c r="V373" i="5" s="1"/>
  <c r="B373" i="5"/>
  <c r="S373" i="5" s="1"/>
  <c r="C372" i="5"/>
  <c r="V372" i="5" s="1"/>
  <c r="B372" i="5"/>
  <c r="C371" i="5"/>
  <c r="V371" i="5" s="1"/>
  <c r="B371" i="5"/>
  <c r="T371" i="5" s="1"/>
  <c r="C370" i="5"/>
  <c r="B370" i="5"/>
  <c r="C369" i="5"/>
  <c r="V369" i="5" s="1"/>
  <c r="R369" i="5" s="1"/>
  <c r="B369" i="5"/>
  <c r="S369" i="5" s="1"/>
  <c r="C368" i="5"/>
  <c r="V368" i="5" s="1"/>
  <c r="H368" i="5" s="1"/>
  <c r="B368" i="5"/>
  <c r="C367" i="5"/>
  <c r="B367" i="5"/>
  <c r="C366" i="5"/>
  <c r="B366" i="5"/>
  <c r="S366" i="5" s="1"/>
  <c r="C365" i="5"/>
  <c r="B365" i="5"/>
  <c r="S365" i="5" s="1"/>
  <c r="V364" i="5"/>
  <c r="I364" i="5" s="1"/>
  <c r="C364" i="5"/>
  <c r="B364" i="5"/>
  <c r="C363" i="5"/>
  <c r="V363" i="5" s="1"/>
  <c r="I363" i="5" s="1"/>
  <c r="B363" i="5"/>
  <c r="C362" i="5"/>
  <c r="B362" i="5"/>
  <c r="S362" i="5" s="1"/>
  <c r="C361" i="5"/>
  <c r="V361" i="5" s="1"/>
  <c r="B361" i="5"/>
  <c r="C360" i="5"/>
  <c r="V360" i="5" s="1"/>
  <c r="B360" i="5"/>
  <c r="C359" i="5"/>
  <c r="B359" i="5"/>
  <c r="S359" i="5" s="1"/>
  <c r="C358" i="5"/>
  <c r="B358" i="5"/>
  <c r="C357" i="5"/>
  <c r="V357" i="5" s="1"/>
  <c r="B357" i="5"/>
  <c r="S357" i="5" s="1"/>
  <c r="C356" i="5"/>
  <c r="V356" i="5" s="1"/>
  <c r="B356" i="5"/>
  <c r="C355" i="5"/>
  <c r="B355" i="5"/>
  <c r="C354" i="5"/>
  <c r="B354" i="5"/>
  <c r="C353" i="5"/>
  <c r="V353" i="5" s="1"/>
  <c r="B353" i="5"/>
  <c r="S353" i="5" s="1"/>
  <c r="C352" i="5"/>
  <c r="V352" i="5" s="1"/>
  <c r="B352" i="5"/>
  <c r="C351" i="5"/>
  <c r="V351" i="5" s="1"/>
  <c r="B351" i="5"/>
  <c r="C350" i="5"/>
  <c r="B350" i="5"/>
  <c r="T350" i="5" s="1"/>
  <c r="C349" i="5"/>
  <c r="V349" i="5" s="1"/>
  <c r="B349" i="5"/>
  <c r="T349" i="5" s="1"/>
  <c r="C348" i="5"/>
  <c r="V348" i="5" s="1"/>
  <c r="B348" i="5"/>
  <c r="C347" i="5"/>
  <c r="V347" i="5" s="1"/>
  <c r="B347" i="5"/>
  <c r="T347" i="5" s="1"/>
  <c r="C346" i="5"/>
  <c r="B346" i="5"/>
  <c r="S346" i="5" s="1"/>
  <c r="C345" i="5"/>
  <c r="V345" i="5" s="1"/>
  <c r="B345" i="5"/>
  <c r="S345" i="5" s="1"/>
  <c r="C344" i="5"/>
  <c r="V344" i="5" s="1"/>
  <c r="I344" i="5" s="1"/>
  <c r="B344" i="5"/>
  <c r="C343" i="5"/>
  <c r="V343" i="5" s="1"/>
  <c r="B343" i="5"/>
  <c r="T343" i="5" s="1"/>
  <c r="C342" i="5"/>
  <c r="B342" i="5"/>
  <c r="C341" i="5"/>
  <c r="V341" i="5" s="1"/>
  <c r="E341" i="5" s="1"/>
  <c r="B341" i="5"/>
  <c r="C340" i="5"/>
  <c r="B340" i="5"/>
  <c r="C339" i="5"/>
  <c r="B339" i="5"/>
  <c r="C338" i="5"/>
  <c r="V338" i="5" s="1"/>
  <c r="J338" i="5" s="1"/>
  <c r="B338" i="5"/>
  <c r="S338" i="5" s="1"/>
  <c r="C337" i="5"/>
  <c r="V337" i="5" s="1"/>
  <c r="B337" i="5"/>
  <c r="C336" i="5"/>
  <c r="V336" i="5" s="1"/>
  <c r="R336" i="5" s="1"/>
  <c r="B336" i="5"/>
  <c r="T336" i="5" s="1"/>
  <c r="C335" i="5"/>
  <c r="V335" i="5" s="1"/>
  <c r="B335" i="5"/>
  <c r="S335" i="5" s="1"/>
  <c r="C334" i="5"/>
  <c r="B334" i="5"/>
  <c r="C333" i="5"/>
  <c r="V333" i="5" s="1"/>
  <c r="B333" i="5"/>
  <c r="S333" i="5" s="1"/>
  <c r="C332" i="5"/>
  <c r="V332" i="5" s="1"/>
  <c r="R332" i="5" s="1"/>
  <c r="B332" i="5"/>
  <c r="T332" i="5" s="1"/>
  <c r="C331" i="5"/>
  <c r="V331" i="5" s="1"/>
  <c r="B331" i="5"/>
  <c r="S331" i="5" s="1"/>
  <c r="C330" i="5"/>
  <c r="B330" i="5"/>
  <c r="C329" i="5"/>
  <c r="V329" i="5" s="1"/>
  <c r="R329" i="5" s="1"/>
  <c r="B329" i="5"/>
  <c r="S329" i="5" s="1"/>
  <c r="C328" i="5"/>
  <c r="B328" i="5"/>
  <c r="C327" i="5"/>
  <c r="V327" i="5" s="1"/>
  <c r="B327" i="5"/>
  <c r="S327" i="5" s="1"/>
  <c r="C326" i="5"/>
  <c r="V326" i="5" s="1"/>
  <c r="B326" i="5"/>
  <c r="T326" i="5" s="1"/>
  <c r="C325" i="5"/>
  <c r="V325" i="5" s="1"/>
  <c r="F325" i="5" s="1"/>
  <c r="B325" i="5"/>
  <c r="S325" i="5" s="1"/>
  <c r="C324" i="5"/>
  <c r="AB324" i="5" s="1"/>
  <c r="B324" i="5"/>
  <c r="T324" i="5" s="1"/>
  <c r="C323" i="5"/>
  <c r="V323" i="5" s="1"/>
  <c r="B323" i="5"/>
  <c r="S323" i="5" s="1"/>
  <c r="C322" i="5"/>
  <c r="V322" i="5" s="1"/>
  <c r="R322" i="5" s="1"/>
  <c r="B322" i="5"/>
  <c r="C321" i="5"/>
  <c r="V321" i="5" s="1"/>
  <c r="B321" i="5"/>
  <c r="S321" i="5" s="1"/>
  <c r="C320" i="5"/>
  <c r="B320" i="5"/>
  <c r="C319" i="5"/>
  <c r="V319" i="5" s="1"/>
  <c r="B319" i="5"/>
  <c r="S319" i="5" s="1"/>
  <c r="C318" i="5"/>
  <c r="V318" i="5" s="1"/>
  <c r="B318" i="5"/>
  <c r="T318" i="5" s="1"/>
  <c r="C317" i="5"/>
  <c r="V317" i="5" s="1"/>
  <c r="F317" i="5" s="1"/>
  <c r="B317" i="5"/>
  <c r="S317" i="5" s="1"/>
  <c r="C316" i="5"/>
  <c r="B316" i="5"/>
  <c r="T316" i="5" s="1"/>
  <c r="C315" i="5"/>
  <c r="V315" i="5" s="1"/>
  <c r="B315" i="5"/>
  <c r="S315" i="5" s="1"/>
  <c r="C314" i="5"/>
  <c r="B314" i="5"/>
  <c r="V313" i="5"/>
  <c r="R313" i="5" s="1"/>
  <c r="C313" i="5"/>
  <c r="B313" i="5"/>
  <c r="S313" i="5" s="1"/>
  <c r="C312" i="5"/>
  <c r="B312" i="5"/>
  <c r="V311" i="5"/>
  <c r="V310" i="5"/>
  <c r="V309" i="5"/>
  <c r="V307" i="5"/>
  <c r="V304" i="5"/>
  <c r="E304" i="5" s="1"/>
  <c r="V302" i="5"/>
  <c r="F302" i="5" s="1"/>
  <c r="V301" i="5"/>
  <c r="V299" i="5"/>
  <c r="AB299" i="5"/>
  <c r="V298" i="5"/>
  <c r="V295" i="5"/>
  <c r="V294" i="5"/>
  <c r="V291" i="5"/>
  <c r="F291" i="5" s="1"/>
  <c r="V289" i="5"/>
  <c r="V286" i="5"/>
  <c r="V285" i="5"/>
  <c r="V283" i="5"/>
  <c r="R283" i="5" s="1"/>
  <c r="V282" i="5"/>
  <c r="V278" i="5"/>
  <c r="V275" i="5"/>
  <c r="V274" i="5"/>
  <c r="V273" i="5"/>
  <c r="V271" i="5"/>
  <c r="E271" i="5" s="1"/>
  <c r="X271" i="5" s="1"/>
  <c r="V270" i="5"/>
  <c r="V269" i="5"/>
  <c r="E269" i="5" s="1"/>
  <c r="X269" i="5" s="1"/>
  <c r="V267" i="5"/>
  <c r="V266" i="5"/>
  <c r="V263" i="5"/>
  <c r="R263" i="5" s="1"/>
  <c r="V259" i="5"/>
  <c r="V258" i="5"/>
  <c r="V257" i="5"/>
  <c r="E257" i="5" s="1"/>
  <c r="X257" i="5" s="1"/>
  <c r="V255" i="5"/>
  <c r="R255" i="5" s="1"/>
  <c r="V254" i="5"/>
  <c r="V253" i="5"/>
  <c r="R253" i="5" s="1"/>
  <c r="V250" i="5"/>
  <c r="V249" i="5"/>
  <c r="V247" i="5"/>
  <c r="V246" i="5"/>
  <c r="V245" i="5"/>
  <c r="V242" i="5"/>
  <c r="V241" i="5"/>
  <c r="V238" i="5"/>
  <c r="V237" i="5"/>
  <c r="V235" i="5"/>
  <c r="V234" i="5"/>
  <c r="V233" i="5"/>
  <c r="R233" i="5" s="1"/>
  <c r="V231" i="5"/>
  <c r="H231" i="5" s="1"/>
  <c r="V230" i="5"/>
  <c r="V229" i="5"/>
  <c r="V227" i="5"/>
  <c r="V226" i="5"/>
  <c r="V225" i="5"/>
  <c r="V223" i="5"/>
  <c r="V222" i="5"/>
  <c r="H222" i="5" s="1"/>
  <c r="V221" i="5"/>
  <c r="F221" i="5" s="1"/>
  <c r="V219" i="5"/>
  <c r="R219" i="5" s="1"/>
  <c r="V218" i="5"/>
  <c r="H218" i="5" s="1"/>
  <c r="V217" i="5"/>
  <c r="V214" i="5"/>
  <c r="H214" i="5" s="1"/>
  <c r="V213" i="5"/>
  <c r="E213" i="5" s="1"/>
  <c r="X213" i="5" s="1"/>
  <c r="V210" i="5"/>
  <c r="E210" i="5" s="1"/>
  <c r="X210" i="5" s="1"/>
  <c r="V209" i="5"/>
  <c r="V206" i="5"/>
  <c r="V205" i="5"/>
  <c r="R205" i="5" s="1"/>
  <c r="V203" i="5"/>
  <c r="V202" i="5"/>
  <c r="I202" i="5" s="1"/>
  <c r="V199" i="5"/>
  <c r="V198" i="5"/>
  <c r="V197" i="5"/>
  <c r="V195" i="5"/>
  <c r="V193" i="5"/>
  <c r="V190" i="5"/>
  <c r="E190" i="5" s="1"/>
  <c r="X190" i="5" s="1"/>
  <c r="V187" i="5"/>
  <c r="J187" i="5" s="1"/>
  <c r="V186" i="5"/>
  <c r="I186" i="5" s="1"/>
  <c r="V185" i="5"/>
  <c r="R185" i="5" s="1"/>
  <c r="V183" i="5"/>
  <c r="V182" i="5"/>
  <c r="V181" i="5"/>
  <c r="V179" i="5"/>
  <c r="H179" i="5" s="1"/>
  <c r="V178" i="5"/>
  <c r="V177" i="5"/>
  <c r="V174" i="5"/>
  <c r="I174" i="5" s="1"/>
  <c r="V173" i="5"/>
  <c r="V171" i="5"/>
  <c r="I171" i="5" s="1"/>
  <c r="V170" i="5"/>
  <c r="I170" i="5" s="1"/>
  <c r="V169" i="5"/>
  <c r="V167" i="5"/>
  <c r="J167" i="5" s="1"/>
  <c r="V166" i="5"/>
  <c r="H166" i="5" s="1"/>
  <c r="V165" i="5"/>
  <c r="V162" i="5"/>
  <c r="I162" i="5" s="1"/>
  <c r="V161" i="5"/>
  <c r="G161" i="5" s="1"/>
  <c r="V159" i="5"/>
  <c r="V158" i="5"/>
  <c r="I158" i="5" s="1"/>
  <c r="V157" i="5"/>
  <c r="R157" i="5" s="1"/>
  <c r="V155" i="5"/>
  <c r="V154" i="5"/>
  <c r="I154" i="5" s="1"/>
  <c r="V153" i="5"/>
  <c r="R153" i="5" s="1"/>
  <c r="V150" i="5"/>
  <c r="E150" i="5" s="1"/>
  <c r="X150" i="5" s="1"/>
  <c r="V149" i="5"/>
  <c r="V147" i="5"/>
  <c r="V146" i="5"/>
  <c r="V145" i="5"/>
  <c r="F145" i="5" s="1"/>
  <c r="V143" i="5"/>
  <c r="V142" i="5"/>
  <c r="I142" i="5" s="1"/>
  <c r="V141" i="5"/>
  <c r="R141" i="5" s="1"/>
  <c r="V139" i="5"/>
  <c r="V138" i="5"/>
  <c r="I138" i="5" s="1"/>
  <c r="V137" i="5"/>
  <c r="R137" i="5" s="1"/>
  <c r="V135" i="5"/>
  <c r="V134" i="5"/>
  <c r="I134" i="5" s="1"/>
  <c r="V133" i="5"/>
  <c r="V131" i="5"/>
  <c r="V130" i="5"/>
  <c r="I130" i="5" s="1"/>
  <c r="V129" i="5"/>
  <c r="V127" i="5"/>
  <c r="V126" i="5"/>
  <c r="V125" i="5"/>
  <c r="V123" i="5"/>
  <c r="E123" i="5" s="1"/>
  <c r="X123" i="5" s="1"/>
  <c r="V122" i="5"/>
  <c r="I122" i="5" s="1"/>
  <c r="V121" i="5"/>
  <c r="R121" i="5" s="1"/>
  <c r="V119" i="5"/>
  <c r="V118" i="5"/>
  <c r="V117" i="5"/>
  <c r="V114" i="5"/>
  <c r="V113" i="5"/>
  <c r="V111" i="5"/>
  <c r="J111" i="5" s="1"/>
  <c r="V110" i="5"/>
  <c r="I110" i="5" s="1"/>
  <c r="V109" i="5"/>
  <c r="V107" i="5"/>
  <c r="V106" i="5"/>
  <c r="E106" i="5" s="1"/>
  <c r="X106" i="5" s="1"/>
  <c r="V105" i="5"/>
  <c r="V101" i="5"/>
  <c r="G101" i="5" s="1"/>
  <c r="V99" i="5"/>
  <c r="V98" i="5"/>
  <c r="R98" i="5" s="1"/>
  <c r="V97" i="5"/>
  <c r="V96" i="5"/>
  <c r="R96" i="5" s="1"/>
  <c r="V95" i="5"/>
  <c r="V94" i="5"/>
  <c r="E94" i="5" s="1"/>
  <c r="X94" i="5" s="1"/>
  <c r="V93" i="5"/>
  <c r="V92" i="5"/>
  <c r="R92" i="5" s="1"/>
  <c r="V90" i="5"/>
  <c r="H90" i="5" s="1"/>
  <c r="V89" i="5"/>
  <c r="V88" i="5"/>
  <c r="R88" i="5" s="1"/>
  <c r="V86" i="5"/>
  <c r="H86" i="5" s="1"/>
  <c r="V85" i="5"/>
  <c r="R85" i="5" s="1"/>
  <c r="V84" i="5"/>
  <c r="R84" i="5" s="1"/>
  <c r="V83" i="5"/>
  <c r="V82" i="5"/>
  <c r="R82" i="5" s="1"/>
  <c r="V81" i="5"/>
  <c r="R81" i="5" s="1"/>
  <c r="V80" i="5"/>
  <c r="R80" i="5" s="1"/>
  <c r="V79" i="5"/>
  <c r="V78" i="5"/>
  <c r="R78" i="5" s="1"/>
  <c r="V77" i="5"/>
  <c r="V76" i="5"/>
  <c r="R76" i="5" s="1"/>
  <c r="V75" i="5"/>
  <c r="V74" i="5"/>
  <c r="E74" i="5" s="1"/>
  <c r="X74" i="5" s="1"/>
  <c r="V73" i="5"/>
  <c r="V72" i="5"/>
  <c r="R72" i="5" s="1"/>
  <c r="V70" i="5"/>
  <c r="H70" i="5" s="1"/>
  <c r="V69" i="5"/>
  <c r="R69" i="5" s="1"/>
  <c r="V68" i="5"/>
  <c r="R68" i="5" s="1"/>
  <c r="V67" i="5"/>
  <c r="V66" i="5"/>
  <c r="R66" i="5" s="1"/>
  <c r="V65" i="5"/>
  <c r="R65" i="5" s="1"/>
  <c r="V64" i="5"/>
  <c r="R64" i="5" s="1"/>
  <c r="V63" i="5"/>
  <c r="V62" i="5"/>
  <c r="R62" i="5" s="1"/>
  <c r="V61" i="5"/>
  <c r="V60" i="5"/>
  <c r="R60" i="5" s="1"/>
  <c r="V59" i="5"/>
  <c r="H59" i="5" s="1"/>
  <c r="V58" i="5"/>
  <c r="E58" i="5" s="1"/>
  <c r="X58" i="5" s="1"/>
  <c r="V57" i="5"/>
  <c r="V56" i="5"/>
  <c r="R56" i="5" s="1"/>
  <c r="V55" i="5"/>
  <c r="H55" i="5" s="1"/>
  <c r="V54" i="5"/>
  <c r="H54" i="5" s="1"/>
  <c r="V53" i="5"/>
  <c r="R53" i="5" s="1"/>
  <c r="V52" i="5"/>
  <c r="R52" i="5" s="1"/>
  <c r="V51" i="5"/>
  <c r="V50" i="5"/>
  <c r="R50" i="5" s="1"/>
  <c r="V49" i="5"/>
  <c r="R49" i="5" s="1"/>
  <c r="V48" i="5"/>
  <c r="R48" i="5" s="1"/>
  <c r="V47" i="5"/>
  <c r="V46" i="5"/>
  <c r="R46" i="5" s="1"/>
  <c r="V45" i="5"/>
  <c r="R45" i="5" s="1"/>
  <c r="V44" i="5"/>
  <c r="R44" i="5" s="1"/>
  <c r="V42" i="5"/>
  <c r="E42" i="5" s="1"/>
  <c r="X42" i="5" s="1"/>
  <c r="V41" i="5"/>
  <c r="V40" i="5"/>
  <c r="R40" i="5" s="1"/>
  <c r="V39" i="5"/>
  <c r="H39" i="5" s="1"/>
  <c r="V38" i="5"/>
  <c r="H38" i="5" s="1"/>
  <c r="V37" i="5"/>
  <c r="R37" i="5" s="1"/>
  <c r="V36" i="5"/>
  <c r="R36" i="5" s="1"/>
  <c r="V35" i="5"/>
  <c r="V34" i="5"/>
  <c r="R34" i="5" s="1"/>
  <c r="V33" i="5"/>
  <c r="R33" i="5" s="1"/>
  <c r="V32" i="5"/>
  <c r="R32" i="5" s="1"/>
  <c r="V31" i="5"/>
  <c r="V30" i="5"/>
  <c r="I30" i="5" s="1"/>
  <c r="V29" i="5"/>
  <c r="H29" i="5" s="1"/>
  <c r="V28" i="5"/>
  <c r="E28" i="5" s="1"/>
  <c r="V27" i="5"/>
  <c r="V26" i="5"/>
  <c r="I26" i="5" s="1"/>
  <c r="V25" i="5"/>
  <c r="V24" i="5"/>
  <c r="R24" i="5" s="1"/>
  <c r="V23" i="5"/>
  <c r="H23" i="5" s="1"/>
  <c r="V22" i="5"/>
  <c r="I22" i="5" s="1"/>
  <c r="V21" i="5"/>
  <c r="V20" i="5"/>
  <c r="R20" i="5" s="1"/>
  <c r="V19" i="5"/>
  <c r="AB18" i="5"/>
  <c r="V18" i="5"/>
  <c r="I18" i="5" s="1"/>
  <c r="V6" i="5"/>
  <c r="R6" i="5" s="1"/>
  <c r="AB6" i="5"/>
  <c r="V5" i="5"/>
  <c r="H5" i="5" s="1"/>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S106" i="5"/>
  <c r="S269" i="5"/>
  <c r="R86" i="5" l="1"/>
  <c r="G166" i="5"/>
  <c r="F271" i="5"/>
  <c r="AB348" i="5"/>
  <c r="S597" i="5"/>
  <c r="T800" i="5"/>
  <c r="AB1079" i="5"/>
  <c r="AB1110" i="5"/>
  <c r="J1479" i="5"/>
  <c r="T1672" i="5"/>
  <c r="T1741" i="5"/>
  <c r="S1899" i="5"/>
  <c r="T1967" i="5"/>
  <c r="T2421" i="5"/>
  <c r="AB2480" i="5"/>
  <c r="H2499" i="5"/>
  <c r="AB164"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AB341" i="5"/>
  <c r="AB384" i="5"/>
  <c r="T451" i="5"/>
  <c r="T458" i="5"/>
  <c r="S485" i="5"/>
  <c r="AB493" i="5"/>
  <c r="AB587" i="5"/>
  <c r="S659" i="5"/>
  <c r="G1230" i="5"/>
  <c r="AB1277" i="5"/>
  <c r="T1352" i="5"/>
  <c r="T1414" i="5"/>
  <c r="S1455" i="5"/>
  <c r="S1762" i="5"/>
  <c r="T1791" i="5"/>
  <c r="AB1806" i="5"/>
  <c r="S1821" i="5"/>
  <c r="S2047" i="5"/>
  <c r="T2131" i="5"/>
  <c r="H322" i="5"/>
  <c r="T587" i="5"/>
  <c r="S633" i="5"/>
  <c r="G809" i="5"/>
  <c r="H1230" i="5"/>
  <c r="AB1593" i="5"/>
  <c r="S1696" i="5"/>
  <c r="S1749" i="5"/>
  <c r="S1752" i="5"/>
  <c r="S1766" i="5"/>
  <c r="T1795" i="5"/>
  <c r="T1855" i="5"/>
  <c r="T2019" i="5"/>
  <c r="S2022" i="5"/>
  <c r="S399" i="5"/>
  <c r="AB517" i="5"/>
  <c r="S577" i="5"/>
  <c r="AB607" i="5"/>
  <c r="S706" i="5"/>
  <c r="R897" i="5"/>
  <c r="S960" i="5"/>
  <c r="S1255" i="5"/>
  <c r="AB1308" i="5"/>
  <c r="T1315" i="5"/>
  <c r="AB1369" i="5"/>
  <c r="S1386" i="5"/>
  <c r="S1437" i="5"/>
  <c r="I1480" i="5"/>
  <c r="I1487" i="5"/>
  <c r="T1704" i="5"/>
  <c r="S1919" i="5"/>
  <c r="AB2071" i="5"/>
  <c r="AB2166" i="5"/>
  <c r="T2285" i="5"/>
  <c r="T2397" i="5"/>
  <c r="S2408" i="5"/>
  <c r="I58" i="5"/>
  <c r="H338" i="5"/>
  <c r="AB418" i="5"/>
  <c r="S563"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430" i="5"/>
  <c r="S726" i="5"/>
  <c r="H733" i="5"/>
  <c r="T829" i="5"/>
  <c r="S1011" i="5"/>
  <c r="T1259" i="5"/>
  <c r="T1289" i="5"/>
  <c r="T1327" i="5"/>
  <c r="AB1377" i="5"/>
  <c r="H1427" i="5"/>
  <c r="AB1598" i="5"/>
  <c r="AB1610" i="5"/>
  <c r="S1750" i="5"/>
  <c r="J1905" i="5"/>
  <c r="AB2061" i="5"/>
  <c r="S2212" i="5"/>
  <c r="F20" i="6"/>
  <c r="F21" i="6"/>
  <c r="J235" i="5"/>
  <c r="F235" i="5"/>
  <c r="E1753" i="5"/>
  <c r="X1753" i="5" s="1"/>
  <c r="H1753" i="5"/>
  <c r="H75" i="5"/>
  <c r="E75" i="5"/>
  <c r="X75" i="5" s="1"/>
  <c r="I764" i="5"/>
  <c r="I2158" i="5"/>
  <c r="R70" i="5"/>
  <c r="G80" i="5"/>
  <c r="I106" i="5"/>
  <c r="G242" i="5"/>
  <c r="G291" i="5"/>
  <c r="AB364" i="5"/>
  <c r="R488" i="5"/>
  <c r="G761" i="5"/>
  <c r="H1178" i="5"/>
  <c r="J1218" i="5"/>
  <c r="J1250" i="5"/>
  <c r="AB1312" i="5"/>
  <c r="F2013" i="5"/>
  <c r="V2061" i="5"/>
  <c r="E2061" i="5" s="1"/>
  <c r="X2061" i="5" s="1"/>
  <c r="AB2065" i="5"/>
  <c r="AB2152" i="5"/>
  <c r="H2474" i="5"/>
  <c r="G42" i="5"/>
  <c r="E171" i="5"/>
  <c r="X171" i="5" s="1"/>
  <c r="AB196" i="5"/>
  <c r="G218" i="5"/>
  <c r="I302" i="5"/>
  <c r="AB467" i="5"/>
  <c r="AB520" i="5"/>
  <c r="AB627" i="5"/>
  <c r="R731" i="5"/>
  <c r="H843" i="5"/>
  <c r="H1208" i="5"/>
  <c r="F1248" i="5"/>
  <c r="AB1753" i="5"/>
  <c r="H2013" i="5"/>
  <c r="F2433" i="5"/>
  <c r="G584" i="5"/>
  <c r="H813" i="5"/>
  <c r="G1166" i="5"/>
  <c r="G1241" i="5"/>
  <c r="H42" i="5"/>
  <c r="AB255" i="5"/>
  <c r="AB1165" i="5"/>
  <c r="AB1249" i="5"/>
  <c r="AB1273" i="5"/>
  <c r="AB1280" i="5"/>
  <c r="AB1317" i="5"/>
  <c r="AB1332" i="5"/>
  <c r="F1387" i="5"/>
  <c r="H1419" i="5"/>
  <c r="R1488" i="5"/>
  <c r="V1593" i="5"/>
  <c r="I1593" i="5" s="1"/>
  <c r="AB1915" i="5"/>
  <c r="F2072" i="5"/>
  <c r="AB2125" i="5"/>
  <c r="G2137" i="5"/>
  <c r="AB2273" i="5"/>
  <c r="G130" i="5"/>
  <c r="H1250" i="5"/>
  <c r="H1443" i="5"/>
  <c r="V2342" i="5"/>
  <c r="E2342" i="5" s="1"/>
  <c r="X2342" i="5" s="1"/>
  <c r="I42" i="5"/>
  <c r="G96" i="5"/>
  <c r="V281" i="5"/>
  <c r="R281" i="5" s="1"/>
  <c r="AB372" i="5"/>
  <c r="AB376" i="5"/>
  <c r="AB380" i="5"/>
  <c r="AB1058" i="5"/>
  <c r="G1551" i="5"/>
  <c r="H1882" i="5"/>
  <c r="AB2030" i="5"/>
  <c r="AB2395" i="5"/>
  <c r="I2210" i="5"/>
  <c r="E158" i="5"/>
  <c r="G187" i="5"/>
  <c r="H190" i="5"/>
  <c r="AB231"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F217" i="5"/>
  <c r="E217" i="5"/>
  <c r="I802" i="5"/>
  <c r="F802" i="5"/>
  <c r="I940" i="5"/>
  <c r="H940" i="5"/>
  <c r="H95" i="5"/>
  <c r="F95" i="5"/>
  <c r="I95" i="5"/>
  <c r="R780" i="5"/>
  <c r="I780" i="5"/>
  <c r="E780" i="5"/>
  <c r="X780" i="5" s="1"/>
  <c r="H63" i="5"/>
  <c r="I63" i="5"/>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AB30" i="5"/>
  <c r="I54" i="5"/>
  <c r="G75" i="5"/>
  <c r="AB126" i="5"/>
  <c r="I190" i="5"/>
  <c r="I235" i="5"/>
  <c r="G238" i="5"/>
  <c r="G295" i="5"/>
  <c r="T335" i="5"/>
  <c r="T338" i="5"/>
  <c r="S371" i="5"/>
  <c r="AB438" i="5"/>
  <c r="AB459" i="5"/>
  <c r="S517" i="5"/>
  <c r="T537"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I75" i="5"/>
  <c r="T359" i="5"/>
  <c r="S438" i="5"/>
  <c r="S447" i="5"/>
  <c r="S487" i="5"/>
  <c r="T521" i="5"/>
  <c r="S557"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AB24" i="5"/>
  <c r="H58" i="5"/>
  <c r="G70" i="5"/>
  <c r="R75" i="5"/>
  <c r="AB102" i="5"/>
  <c r="G127" i="5"/>
  <c r="G186" i="5"/>
  <c r="AB242" i="5"/>
  <c r="AB283" i="5"/>
  <c r="AB308" i="5"/>
  <c r="S422" i="5"/>
  <c r="AB426" i="5"/>
  <c r="AB430" i="5"/>
  <c r="AB457" i="5"/>
  <c r="S463" i="5"/>
  <c r="AB485" i="5"/>
  <c r="AB525" i="5"/>
  <c r="S561"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I38" i="5"/>
  <c r="E46" i="5"/>
  <c r="I74" i="5"/>
  <c r="E78" i="5"/>
  <c r="E170" i="5"/>
  <c r="X170" i="5" s="1"/>
  <c r="G198" i="5"/>
  <c r="AB218" i="5"/>
  <c r="AB235" i="5"/>
  <c r="G274" i="5"/>
  <c r="J302" i="5"/>
  <c r="S343" i="5"/>
  <c r="T346" i="5"/>
  <c r="AB368" i="5"/>
  <c r="AB400" i="5"/>
  <c r="E413" i="5"/>
  <c r="X413" i="5" s="1"/>
  <c r="S439" i="5"/>
  <c r="AB442" i="5"/>
  <c r="E491" i="5"/>
  <c r="X491" i="5" s="1"/>
  <c r="AB509" i="5"/>
  <c r="J528" i="5"/>
  <c r="AB536" i="5"/>
  <c r="AB556" i="5"/>
  <c r="T571" i="5"/>
  <c r="AB591" i="5"/>
  <c r="T609"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R38" i="5"/>
  <c r="G46" i="5"/>
  <c r="G95" i="5"/>
  <c r="AB106" i="5"/>
  <c r="G301" i="5"/>
  <c r="S406" i="5"/>
  <c r="S509" i="5"/>
  <c r="S603"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AB1681" i="5"/>
  <c r="T1715" i="5"/>
  <c r="S1715" i="5"/>
  <c r="R1898" i="5"/>
  <c r="J1898" i="5"/>
  <c r="G1987" i="5"/>
  <c r="F1987" i="5"/>
  <c r="I2005" i="5"/>
  <c r="R2005" i="5"/>
  <c r="S2129" i="5"/>
  <c r="T2129" i="5"/>
  <c r="R2150" i="5"/>
  <c r="H2150" i="5"/>
  <c r="G676" i="5"/>
  <c r="G32" i="5"/>
  <c r="E59" i="5"/>
  <c r="X59" i="5" s="1"/>
  <c r="E134" i="5"/>
  <c r="E235" i="5"/>
  <c r="X235" i="5" s="1"/>
  <c r="V265" i="5"/>
  <c r="R265" i="5" s="1"/>
  <c r="E291" i="5"/>
  <c r="X291" i="5" s="1"/>
  <c r="S431" i="5"/>
  <c r="S446" i="5"/>
  <c r="G480" i="5"/>
  <c r="S495" i="5"/>
  <c r="V556" i="5"/>
  <c r="F556" i="5" s="1"/>
  <c r="T591" i="5"/>
  <c r="AB626" i="5"/>
  <c r="AB659" i="5"/>
  <c r="AB669" i="5"/>
  <c r="S682" i="5"/>
  <c r="T730" i="5"/>
  <c r="T768" i="5"/>
  <c r="S833" i="5"/>
  <c r="S944" i="5"/>
  <c r="AB96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H25" i="5"/>
  <c r="F25" i="5"/>
  <c r="G25" i="5"/>
  <c r="E25" i="5"/>
  <c r="X25" i="5" s="1"/>
  <c r="R97" i="5"/>
  <c r="E97" i="5"/>
  <c r="X97" i="5" s="1"/>
  <c r="H79" i="5"/>
  <c r="F79" i="5"/>
  <c r="E79" i="5"/>
  <c r="X79" i="5" s="1"/>
  <c r="I79" i="5"/>
  <c r="G79" i="5"/>
  <c r="H47" i="5"/>
  <c r="E47" i="5"/>
  <c r="X47" i="5" s="1"/>
  <c r="G47" i="5"/>
  <c r="F47" i="5"/>
  <c r="H127" i="5"/>
  <c r="R127" i="5"/>
  <c r="J127" i="5"/>
  <c r="I127" i="5"/>
  <c r="E127" i="5"/>
  <c r="X127" i="5" s="1"/>
  <c r="T320" i="5"/>
  <c r="S320" i="5"/>
  <c r="V330" i="5"/>
  <c r="G330" i="5" s="1"/>
  <c r="T895" i="5"/>
  <c r="AB895" i="5"/>
  <c r="S895" i="5"/>
  <c r="AB1863" i="5"/>
  <c r="T1863" i="5"/>
  <c r="S1863" i="5"/>
  <c r="R54" i="5"/>
  <c r="G59" i="5"/>
  <c r="G64" i="5"/>
  <c r="R74" i="5"/>
  <c r="E90" i="5"/>
  <c r="I90" i="5"/>
  <c r="V91" i="5"/>
  <c r="G91" i="5" s="1"/>
  <c r="H123" i="5"/>
  <c r="J123" i="5"/>
  <c r="I123" i="5"/>
  <c r="V189" i="5"/>
  <c r="R189" i="5" s="1"/>
  <c r="AB210" i="5"/>
  <c r="R225" i="5"/>
  <c r="F225" i="5"/>
  <c r="E225" i="5"/>
  <c r="X225" i="5" s="1"/>
  <c r="V243" i="5"/>
  <c r="G243" i="5" s="1"/>
  <c r="F309" i="5"/>
  <c r="E309" i="5"/>
  <c r="F357" i="5"/>
  <c r="E357" i="5"/>
  <c r="X357" i="5" s="1"/>
  <c r="G399" i="5"/>
  <c r="V463" i="5"/>
  <c r="R463" i="5" s="1"/>
  <c r="G586" i="5"/>
  <c r="F586" i="5"/>
  <c r="I714" i="5"/>
  <c r="J714" i="5"/>
  <c r="T738" i="5"/>
  <c r="S738" i="5"/>
  <c r="R94" i="5"/>
  <c r="H94" i="5"/>
  <c r="AB170" i="5"/>
  <c r="E452" i="5"/>
  <c r="X452" i="5" s="1"/>
  <c r="H452" i="5"/>
  <c r="F452" i="5"/>
  <c r="S1497" i="5"/>
  <c r="T1497" i="5"/>
  <c r="E26" i="5"/>
  <c r="X26" i="5" s="1"/>
  <c r="I59" i="5"/>
  <c r="E63" i="5"/>
  <c r="X63" i="5" s="1"/>
  <c r="G94" i="5"/>
  <c r="V102" i="5"/>
  <c r="G102" i="5" s="1"/>
  <c r="I126" i="5"/>
  <c r="H126" i="5"/>
  <c r="E126" i="5"/>
  <c r="H147" i="5"/>
  <c r="I147" i="5"/>
  <c r="V207" i="5"/>
  <c r="G207" i="5" s="1"/>
  <c r="R237" i="5"/>
  <c r="F237" i="5"/>
  <c r="E237" i="5"/>
  <c r="X237" i="5" s="1"/>
  <c r="V262" i="5"/>
  <c r="AB262" i="5"/>
  <c r="AB298" i="5"/>
  <c r="T328" i="5"/>
  <c r="S328" i="5"/>
  <c r="T354" i="5"/>
  <c r="S354" i="5"/>
  <c r="E451" i="5"/>
  <c r="X451" i="5" s="1"/>
  <c r="F451" i="5"/>
  <c r="R453" i="5"/>
  <c r="J453" i="5"/>
  <c r="H453" i="5"/>
  <c r="F453" i="5"/>
  <c r="S581" i="5"/>
  <c r="T581" i="5"/>
  <c r="H107" i="5"/>
  <c r="I107" i="5"/>
  <c r="E107" i="5"/>
  <c r="X107" i="5" s="1"/>
  <c r="R125" i="5"/>
  <c r="G125" i="5"/>
  <c r="T1447" i="5"/>
  <c r="AB1447" i="5"/>
  <c r="S1447" i="5"/>
  <c r="V43" i="5"/>
  <c r="F43" i="5" s="1"/>
  <c r="R22" i="5"/>
  <c r="G38" i="5"/>
  <c r="G58" i="5"/>
  <c r="J59" i="5"/>
  <c r="F63" i="5"/>
  <c r="I70" i="5"/>
  <c r="G78" i="5"/>
  <c r="V87" i="5"/>
  <c r="H87" i="5" s="1"/>
  <c r="R90" i="5"/>
  <c r="AB114" i="5"/>
  <c r="R123" i="5"/>
  <c r="G126" i="5"/>
  <c r="H167" i="5"/>
  <c r="R167" i="5"/>
  <c r="H187" i="5"/>
  <c r="E187" i="5"/>
  <c r="X187" i="5" s="1"/>
  <c r="R187" i="5"/>
  <c r="I187" i="5"/>
  <c r="G275" i="5"/>
  <c r="I275" i="5"/>
  <c r="F275" i="5"/>
  <c r="V306" i="5"/>
  <c r="G306" i="5" s="1"/>
  <c r="I361" i="5"/>
  <c r="J361" i="5"/>
  <c r="H361" i="5"/>
  <c r="F361" i="5"/>
  <c r="V391" i="5"/>
  <c r="G391" i="5" s="1"/>
  <c r="G451" i="5"/>
  <c r="I479" i="5"/>
  <c r="H479" i="5"/>
  <c r="E479" i="5"/>
  <c r="X479" i="5" s="1"/>
  <c r="T519" i="5"/>
  <c r="S519" i="5"/>
  <c r="V574" i="5"/>
  <c r="F574" i="5" s="1"/>
  <c r="T641" i="5"/>
  <c r="S641" i="5"/>
  <c r="R59" i="5"/>
  <c r="G63" i="5"/>
  <c r="H111" i="5"/>
  <c r="R111" i="5"/>
  <c r="H171" i="5"/>
  <c r="R171" i="5"/>
  <c r="J171" i="5"/>
  <c r="G171" i="5"/>
  <c r="V194" i="5"/>
  <c r="I194" i="5" s="1"/>
  <c r="V314" i="5"/>
  <c r="G314" i="5" s="1"/>
  <c r="T351" i="5"/>
  <c r="S351" i="5"/>
  <c r="T454" i="5"/>
  <c r="S454" i="5"/>
  <c r="E468" i="5"/>
  <c r="X468" i="5" s="1"/>
  <c r="F468" i="5"/>
  <c r="T483" i="5"/>
  <c r="S483" i="5"/>
  <c r="V562" i="5"/>
  <c r="R562" i="5" s="1"/>
  <c r="I1848" i="5"/>
  <c r="H1848" i="5"/>
  <c r="G107" i="5"/>
  <c r="V115" i="5"/>
  <c r="H115" i="5" s="1"/>
  <c r="AB166" i="5"/>
  <c r="I198" i="5"/>
  <c r="E198" i="5"/>
  <c r="H198" i="5"/>
  <c r="V201" i="5"/>
  <c r="R201" i="5" s="1"/>
  <c r="R245" i="5"/>
  <c r="G245" i="5"/>
  <c r="I461" i="5"/>
  <c r="F461" i="5"/>
  <c r="J552" i="5"/>
  <c r="H552" i="5"/>
  <c r="G48" i="5"/>
  <c r="G74" i="5"/>
  <c r="G86" i="5"/>
  <c r="J107" i="5"/>
  <c r="AB178" i="5"/>
  <c r="V215" i="5"/>
  <c r="G215" i="5" s="1"/>
  <c r="R299" i="5"/>
  <c r="J299" i="5"/>
  <c r="T312" i="5"/>
  <c r="S312" i="5"/>
  <c r="T379" i="5"/>
  <c r="S379" i="5"/>
  <c r="E392" i="5"/>
  <c r="X392" i="5" s="1"/>
  <c r="I392" i="5"/>
  <c r="H392" i="5"/>
  <c r="E62" i="5"/>
  <c r="AB110" i="5"/>
  <c r="R30" i="5"/>
  <c r="G54" i="5"/>
  <c r="G62" i="5"/>
  <c r="V71" i="5"/>
  <c r="H71" i="5" s="1"/>
  <c r="H74" i="5"/>
  <c r="J75" i="5"/>
  <c r="I86" i="5"/>
  <c r="V103" i="5"/>
  <c r="R107" i="5"/>
  <c r="AB150" i="5"/>
  <c r="AB186" i="5"/>
  <c r="V239" i="5"/>
  <c r="G239" i="5" s="1"/>
  <c r="F372" i="5"/>
  <c r="I372" i="5"/>
  <c r="H372" i="5"/>
  <c r="F392" i="5"/>
  <c r="R401" i="5"/>
  <c r="J401" i="5"/>
  <c r="F455" i="5"/>
  <c r="G455" i="5"/>
  <c r="I507" i="5"/>
  <c r="F507" i="5"/>
  <c r="T601" i="5"/>
  <c r="S601" i="5"/>
  <c r="AB230" i="5"/>
  <c r="AB251" i="5"/>
  <c r="AB267" i="5"/>
  <c r="G271" i="5"/>
  <c r="I376" i="5"/>
  <c r="AB453" i="5"/>
  <c r="AB454" i="5"/>
  <c r="AB472" i="5"/>
  <c r="E527" i="5"/>
  <c r="X527" i="5" s="1"/>
  <c r="I527" i="5"/>
  <c r="I543" i="5"/>
  <c r="E543" i="5"/>
  <c r="X543" i="5" s="1"/>
  <c r="T553" i="5"/>
  <c r="S553" i="5"/>
  <c r="AB560" i="5"/>
  <c r="R584" i="5"/>
  <c r="F584" i="5"/>
  <c r="AB595" i="5"/>
  <c r="T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X788" i="5" s="1"/>
  <c r="V851" i="5"/>
  <c r="AB851" i="5"/>
  <c r="T916" i="5"/>
  <c r="S916" i="5"/>
  <c r="T979" i="5"/>
  <c r="S979" i="5"/>
  <c r="V982" i="5"/>
  <c r="E982" i="5" s="1"/>
  <c r="X982" i="5" s="1"/>
  <c r="AB982" i="5"/>
  <c r="F986" i="5"/>
  <c r="H986" i="5"/>
  <c r="T1026" i="5"/>
  <c r="AB1026" i="5"/>
  <c r="S1026" i="5"/>
  <c r="V1086" i="5"/>
  <c r="F1086" i="5" s="1"/>
  <c r="AB1086" i="5"/>
  <c r="G123" i="5"/>
  <c r="AB132" i="5"/>
  <c r="G134" i="5"/>
  <c r="G137" i="5"/>
  <c r="I166" i="5"/>
  <c r="AB190" i="5"/>
  <c r="V191" i="5"/>
  <c r="F191" i="5" s="1"/>
  <c r="AB263" i="5"/>
  <c r="E265" i="5"/>
  <c r="AB275" i="5"/>
  <c r="G304" i="5"/>
  <c r="S347" i="5"/>
  <c r="AB357" i="5"/>
  <c r="T362" i="5"/>
  <c r="AB365" i="5"/>
  <c r="S407" i="5"/>
  <c r="S415" i="5"/>
  <c r="S423" i="5"/>
  <c r="AB434" i="5"/>
  <c r="S450" i="5"/>
  <c r="S459" i="5"/>
  <c r="S481" i="5"/>
  <c r="S493" i="5"/>
  <c r="F498" i="5"/>
  <c r="S513" i="5"/>
  <c r="T525" i="5"/>
  <c r="T535" i="5"/>
  <c r="S535" i="5"/>
  <c r="T551" i="5"/>
  <c r="AB551" i="5"/>
  <c r="S551" i="5"/>
  <c r="F560" i="5"/>
  <c r="S575" i="5"/>
  <c r="S595" i="5"/>
  <c r="V608" i="5"/>
  <c r="G608" i="5" s="1"/>
  <c r="G616" i="5"/>
  <c r="AB696" i="5"/>
  <c r="V696" i="5"/>
  <c r="R696" i="5" s="1"/>
  <c r="T713" i="5"/>
  <c r="S713" i="5"/>
  <c r="T745" i="5"/>
  <c r="S745" i="5"/>
  <c r="V808" i="5"/>
  <c r="AB808" i="5"/>
  <c r="G808" i="5"/>
  <c r="V872" i="5"/>
  <c r="AB872" i="5"/>
  <c r="AB882" i="5"/>
  <c r="T882" i="5"/>
  <c r="S882" i="5"/>
  <c r="T950" i="5"/>
  <c r="S950" i="5"/>
  <c r="F975" i="5"/>
  <c r="H975" i="5"/>
  <c r="H1103" i="5"/>
  <c r="G1103" i="5"/>
  <c r="F1103" i="5"/>
  <c r="H134" i="5"/>
  <c r="V175" i="5"/>
  <c r="I255" i="5"/>
  <c r="G257" i="5"/>
  <c r="G263" i="5"/>
  <c r="F265" i="5"/>
  <c r="S318" i="5"/>
  <c r="S326" i="5"/>
  <c r="T365" i="5"/>
  <c r="S375" i="5"/>
  <c r="S387" i="5"/>
  <c r="T394" i="5"/>
  <c r="T459" i="5"/>
  <c r="S467" i="5"/>
  <c r="T505" i="5"/>
  <c r="S593" i="5"/>
  <c r="E616" i="5"/>
  <c r="X616" i="5" s="1"/>
  <c r="R616" i="5"/>
  <c r="S639" i="5"/>
  <c r="T649" i="5"/>
  <c r="S649" i="5"/>
  <c r="R685" i="5"/>
  <c r="H685" i="5"/>
  <c r="T733" i="5"/>
  <c r="S733" i="5"/>
  <c r="F768" i="5"/>
  <c r="E768" i="5"/>
  <c r="X768" i="5" s="1"/>
  <c r="F786" i="5"/>
  <c r="E786" i="5"/>
  <c r="X786" i="5" s="1"/>
  <c r="AB836" i="5"/>
  <c r="V836" i="5"/>
  <c r="T911" i="5"/>
  <c r="S911" i="5"/>
  <c r="T927" i="5"/>
  <c r="S927" i="5"/>
  <c r="S938" i="5"/>
  <c r="T938" i="5"/>
  <c r="T976" i="5"/>
  <c r="S976" i="5"/>
  <c r="V987" i="5"/>
  <c r="G987" i="5"/>
  <c r="AB1014" i="5"/>
  <c r="T1014" i="5"/>
  <c r="S1014" i="5"/>
  <c r="H1075" i="5"/>
  <c r="F1075" i="5"/>
  <c r="G1075" i="5"/>
  <c r="G1083" i="5"/>
  <c r="F1083" i="5"/>
  <c r="H1083" i="5"/>
  <c r="G111" i="5"/>
  <c r="G122" i="5"/>
  <c r="H174" i="5"/>
  <c r="AB207" i="5"/>
  <c r="AB215" i="5"/>
  <c r="J263" i="5"/>
  <c r="AB282" i="5"/>
  <c r="G285" i="5"/>
  <c r="G299" i="5"/>
  <c r="E301" i="5"/>
  <c r="AB356" i="5"/>
  <c r="AB451" i="5"/>
  <c r="T457" i="5"/>
  <c r="T467"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S491" i="5"/>
  <c r="T527" i="5"/>
  <c r="S527" i="5"/>
  <c r="AB567" i="5"/>
  <c r="T567" i="5"/>
  <c r="E656" i="5"/>
  <c r="X656" i="5" s="1"/>
  <c r="R656" i="5"/>
  <c r="T690" i="5"/>
  <c r="S690" i="5"/>
  <c r="R796" i="5"/>
  <c r="I796" i="5"/>
  <c r="F796" i="5"/>
  <c r="E796" i="5"/>
  <c r="X796" i="5" s="1"/>
  <c r="AB122" i="5"/>
  <c r="G167" i="5"/>
  <c r="AB174" i="5"/>
  <c r="G179" i="5"/>
  <c r="G190" i="5"/>
  <c r="AB219" i="5"/>
  <c r="G230" i="5"/>
  <c r="AB239" i="5"/>
  <c r="G273" i="5"/>
  <c r="AB278" i="5"/>
  <c r="AB316" i="5"/>
  <c r="G338" i="5"/>
  <c r="T366" i="5"/>
  <c r="T373" i="5"/>
  <c r="H393" i="5"/>
  <c r="AB396" i="5"/>
  <c r="AB404" i="5"/>
  <c r="AB414" i="5"/>
  <c r="AB422" i="5"/>
  <c r="AB458" i="5"/>
  <c r="AB468" i="5"/>
  <c r="J480" i="5"/>
  <c r="F482" i="5"/>
  <c r="S489" i="5"/>
  <c r="F503" i="5"/>
  <c r="V580" i="5"/>
  <c r="G580" i="5" s="1"/>
  <c r="T589" i="5"/>
  <c r="S589" i="5"/>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S541" i="5"/>
  <c r="S549"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X1497" i="5" s="1"/>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E1681" i="5"/>
  <c r="X1681" i="5" s="1"/>
  <c r="H1681" i="5"/>
  <c r="G1681" i="5"/>
  <c r="F1681"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R2197" i="5"/>
  <c r="J2197" i="5"/>
  <c r="J2453" i="5"/>
  <c r="AB1570" i="5"/>
  <c r="AB1606" i="5"/>
  <c r="G1656" i="5"/>
  <c r="H1665"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G2189" i="5"/>
  <c r="V2189" i="5"/>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H2289"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S2218" i="5"/>
  <c r="AB2232" i="5"/>
  <c r="J2249" i="5"/>
  <c r="AB2283" i="5"/>
  <c r="AB2298" i="5"/>
  <c r="S2333" i="5"/>
  <c r="AB2337" i="5"/>
  <c r="AB2341" i="5"/>
  <c r="H2364" i="5"/>
  <c r="H2382" i="5"/>
  <c r="I2390" i="5"/>
  <c r="V2397" i="5"/>
  <c r="G2397" i="5" s="1"/>
  <c r="V2405" i="5"/>
  <c r="I2405" i="5" s="1"/>
  <c r="G2433" i="5"/>
  <c r="AB2440" i="5"/>
  <c r="S2466" i="5"/>
  <c r="T2469" i="5"/>
  <c r="G2474" i="5"/>
  <c r="AB2476" i="5"/>
  <c r="R61" i="5"/>
  <c r="I61" i="5"/>
  <c r="E61" i="5"/>
  <c r="X61" i="5" s="1"/>
  <c r="R73" i="5"/>
  <c r="E73" i="5"/>
  <c r="X73" i="5" s="1"/>
  <c r="I73" i="5"/>
  <c r="F109" i="5"/>
  <c r="R109" i="5"/>
  <c r="G133" i="5"/>
  <c r="R133" i="5"/>
  <c r="F133" i="5"/>
  <c r="F169" i="5"/>
  <c r="R169" i="5"/>
  <c r="G169" i="5"/>
  <c r="E169" i="5"/>
  <c r="X169" i="5" s="1"/>
  <c r="H195" i="5"/>
  <c r="F195" i="5"/>
  <c r="E195" i="5"/>
  <c r="X195" i="5" s="1"/>
  <c r="R195" i="5"/>
  <c r="I195" i="5"/>
  <c r="J195" i="5"/>
  <c r="G195" i="5"/>
  <c r="H67" i="5"/>
  <c r="R67" i="5"/>
  <c r="J67" i="5"/>
  <c r="E67" i="5"/>
  <c r="X67" i="5" s="1"/>
  <c r="I67" i="5"/>
  <c r="F67" i="5"/>
  <c r="H19" i="5"/>
  <c r="R19" i="5"/>
  <c r="J19" i="5"/>
  <c r="G19" i="5"/>
  <c r="E19" i="5"/>
  <c r="X19" i="5" s="1"/>
  <c r="H35" i="5"/>
  <c r="E35" i="5"/>
  <c r="X35" i="5" s="1"/>
  <c r="R35" i="5"/>
  <c r="J35" i="5"/>
  <c r="I35" i="5"/>
  <c r="F35" i="5"/>
  <c r="H139" i="5"/>
  <c r="R139" i="5"/>
  <c r="J139" i="5"/>
  <c r="I139" i="5"/>
  <c r="E139" i="5"/>
  <c r="X139" i="5" s="1"/>
  <c r="F139" i="5"/>
  <c r="E193" i="5"/>
  <c r="X193" i="5" s="1"/>
  <c r="F193" i="5"/>
  <c r="H227" i="5"/>
  <c r="E227" i="5"/>
  <c r="X227" i="5" s="1"/>
  <c r="R227" i="5"/>
  <c r="F227" i="5"/>
  <c r="J227" i="5"/>
  <c r="I227" i="5"/>
  <c r="R41" i="5"/>
  <c r="E41" i="5"/>
  <c r="X41" i="5" s="1"/>
  <c r="I41" i="5"/>
  <c r="H143" i="5"/>
  <c r="R143" i="5"/>
  <c r="J143" i="5"/>
  <c r="F143" i="5"/>
  <c r="I143" i="5"/>
  <c r="G143" i="5"/>
  <c r="E143" i="5"/>
  <c r="X143" i="5" s="1"/>
  <c r="F177" i="5"/>
  <c r="E177" i="5"/>
  <c r="X177" i="5" s="1"/>
  <c r="R177" i="5"/>
  <c r="H183" i="5"/>
  <c r="F183" i="5"/>
  <c r="E183" i="5"/>
  <c r="X183" i="5" s="1"/>
  <c r="I183" i="5"/>
  <c r="R183" i="5"/>
  <c r="J183" i="5"/>
  <c r="G183" i="5"/>
  <c r="R241" i="5"/>
  <c r="F241" i="5"/>
  <c r="E241" i="5"/>
  <c r="H247" i="5"/>
  <c r="I247" i="5"/>
  <c r="E247" i="5"/>
  <c r="X247" i="5" s="1"/>
  <c r="F247" i="5"/>
  <c r="R247" i="5"/>
  <c r="J247" i="5"/>
  <c r="H259" i="5"/>
  <c r="E259" i="5"/>
  <c r="X259" i="5" s="1"/>
  <c r="R259" i="5"/>
  <c r="G259" i="5"/>
  <c r="J259" i="5"/>
  <c r="I259" i="5"/>
  <c r="F259" i="5"/>
  <c r="F173" i="5"/>
  <c r="R173" i="5"/>
  <c r="R93" i="5"/>
  <c r="I93" i="5"/>
  <c r="E93" i="5"/>
  <c r="X93" i="5" s="1"/>
  <c r="H99" i="5"/>
  <c r="R99" i="5"/>
  <c r="J99" i="5"/>
  <c r="E99" i="5"/>
  <c r="X99" i="5" s="1"/>
  <c r="I99" i="5"/>
  <c r="F99" i="5"/>
  <c r="H135" i="5"/>
  <c r="F135" i="5"/>
  <c r="R135" i="5"/>
  <c r="J135" i="5"/>
  <c r="I135" i="5"/>
  <c r="G135" i="5"/>
  <c r="E135" i="5"/>
  <c r="X135" i="5" s="1"/>
  <c r="H159" i="5"/>
  <c r="E159" i="5"/>
  <c r="X159" i="5" s="1"/>
  <c r="R159" i="5"/>
  <c r="J159" i="5"/>
  <c r="I159" i="5"/>
  <c r="F159" i="5"/>
  <c r="I373" i="5"/>
  <c r="R373" i="5"/>
  <c r="J373" i="5"/>
  <c r="H373" i="5"/>
  <c r="F373" i="5"/>
  <c r="E373" i="5"/>
  <c r="X373" i="5" s="1"/>
  <c r="H27" i="5"/>
  <c r="G27" i="5"/>
  <c r="E27" i="5"/>
  <c r="X27" i="5" s="1"/>
  <c r="R27" i="5"/>
  <c r="J27" i="5"/>
  <c r="H83" i="5"/>
  <c r="R83" i="5"/>
  <c r="J83" i="5"/>
  <c r="I83" i="5"/>
  <c r="F83" i="5"/>
  <c r="E83" i="5"/>
  <c r="X83" i="5" s="1"/>
  <c r="H51" i="5"/>
  <c r="R51" i="5"/>
  <c r="J51" i="5"/>
  <c r="E51" i="5"/>
  <c r="X51" i="5" s="1"/>
  <c r="I51" i="5"/>
  <c r="F51" i="5"/>
  <c r="R77" i="5"/>
  <c r="I77" i="5"/>
  <c r="E77" i="5"/>
  <c r="X77" i="5" s="1"/>
  <c r="R89" i="5"/>
  <c r="E89" i="5"/>
  <c r="X89" i="5" s="1"/>
  <c r="I89" i="5"/>
  <c r="E129" i="5"/>
  <c r="X129" i="5" s="1"/>
  <c r="F129" i="5"/>
  <c r="H199" i="5"/>
  <c r="R199" i="5"/>
  <c r="J199" i="5"/>
  <c r="I199" i="5"/>
  <c r="F199" i="5"/>
  <c r="G199" i="5"/>
  <c r="E199" i="5"/>
  <c r="X199" i="5" s="1"/>
  <c r="H131" i="5"/>
  <c r="F131" i="5"/>
  <c r="E131" i="5"/>
  <c r="X131" i="5" s="1"/>
  <c r="I131" i="5"/>
  <c r="R131" i="5"/>
  <c r="J131" i="5"/>
  <c r="G131" i="5"/>
  <c r="H21" i="5"/>
  <c r="J21" i="5"/>
  <c r="R57" i="5"/>
  <c r="E57" i="5"/>
  <c r="X57" i="5" s="1"/>
  <c r="I57" i="5"/>
  <c r="F105" i="5"/>
  <c r="R105" i="5"/>
  <c r="G105" i="5"/>
  <c r="E105" i="5"/>
  <c r="X105" i="5" s="1"/>
  <c r="H119" i="5"/>
  <c r="F119" i="5"/>
  <c r="I119" i="5"/>
  <c r="E119" i="5"/>
  <c r="X119" i="5" s="1"/>
  <c r="R119" i="5"/>
  <c r="J119" i="5"/>
  <c r="G119" i="5"/>
  <c r="G197" i="5"/>
  <c r="R197" i="5"/>
  <c r="F197" i="5"/>
  <c r="H223" i="5"/>
  <c r="R223" i="5"/>
  <c r="J223" i="5"/>
  <c r="F223" i="5"/>
  <c r="I223" i="5"/>
  <c r="E223" i="5"/>
  <c r="X223" i="5" s="1"/>
  <c r="R229" i="5"/>
  <c r="F229" i="5"/>
  <c r="E229" i="5"/>
  <c r="X229" i="5" s="1"/>
  <c r="R337" i="5"/>
  <c r="J337" i="5"/>
  <c r="H337" i="5"/>
  <c r="F337" i="5"/>
  <c r="E337" i="5"/>
  <c r="X337" i="5" s="1"/>
  <c r="H31" i="5"/>
  <c r="J31" i="5"/>
  <c r="E31" i="5"/>
  <c r="X31" i="5" s="1"/>
  <c r="I31" i="5"/>
  <c r="F31" i="5"/>
  <c r="F113" i="5"/>
  <c r="E113" i="5"/>
  <c r="X113" i="5" s="1"/>
  <c r="R113" i="5"/>
  <c r="H155" i="5"/>
  <c r="R155" i="5"/>
  <c r="J155" i="5"/>
  <c r="I155" i="5"/>
  <c r="E155" i="5"/>
  <c r="X155" i="5" s="1"/>
  <c r="F155" i="5"/>
  <c r="H203" i="5"/>
  <c r="R203" i="5"/>
  <c r="J203" i="5"/>
  <c r="I203" i="5"/>
  <c r="E203" i="5"/>
  <c r="X203" i="5" s="1"/>
  <c r="F203" i="5"/>
  <c r="R249" i="5"/>
  <c r="E249" i="5"/>
  <c r="F249" i="5"/>
  <c r="J29" i="5"/>
  <c r="I37" i="5"/>
  <c r="R39" i="5"/>
  <c r="I53" i="5"/>
  <c r="R55" i="5"/>
  <c r="I69" i="5"/>
  <c r="I85" i="5"/>
  <c r="R115" i="5"/>
  <c r="AB140" i="5"/>
  <c r="V151" i="5"/>
  <c r="AB156" i="5"/>
  <c r="AB160" i="5"/>
  <c r="V163" i="5"/>
  <c r="R179" i="5"/>
  <c r="AB204" i="5"/>
  <c r="AB211" i="5"/>
  <c r="V211" i="5"/>
  <c r="G211" i="5" s="1"/>
  <c r="R231" i="5"/>
  <c r="H267" i="5"/>
  <c r="R267" i="5"/>
  <c r="J267" i="5"/>
  <c r="F267" i="5"/>
  <c r="R289" i="5"/>
  <c r="F289" i="5"/>
  <c r="E289" i="5"/>
  <c r="X289" i="5" s="1"/>
  <c r="H295" i="5"/>
  <c r="F295" i="5"/>
  <c r="E295" i="5"/>
  <c r="X295" i="5" s="1"/>
  <c r="R295" i="5"/>
  <c r="G321" i="5"/>
  <c r="J321" i="5"/>
  <c r="H321" i="5"/>
  <c r="F321" i="5"/>
  <c r="E321" i="5"/>
  <c r="X321" i="5" s="1"/>
  <c r="V334" i="5"/>
  <c r="G334" i="5" s="1"/>
  <c r="S337" i="5"/>
  <c r="T337" i="5"/>
  <c r="I347" i="5"/>
  <c r="F347" i="5"/>
  <c r="R360" i="5"/>
  <c r="F360" i="5"/>
  <c r="E404" i="5"/>
  <c r="X404" i="5" s="1"/>
  <c r="R404" i="5"/>
  <c r="I404" i="5"/>
  <c r="I437" i="5"/>
  <c r="R437" i="5"/>
  <c r="J437" i="5"/>
  <c r="H437" i="5"/>
  <c r="E444" i="5"/>
  <c r="X444" i="5" s="1"/>
  <c r="R444" i="5"/>
  <c r="I444" i="5"/>
  <c r="H444" i="5"/>
  <c r="E448" i="5"/>
  <c r="X448" i="5" s="1"/>
  <c r="I448" i="5"/>
  <c r="H448" i="5"/>
  <c r="F448" i="5"/>
  <c r="AB455" i="5"/>
  <c r="S455" i="5"/>
  <c r="T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I25" i="5"/>
  <c r="I32" i="5"/>
  <c r="I47" i="5"/>
  <c r="E66" i="5"/>
  <c r="G68" i="5"/>
  <c r="H78" i="5"/>
  <c r="E82" i="5"/>
  <c r="G84" i="5"/>
  <c r="E98" i="5"/>
  <c r="G113" i="5"/>
  <c r="E142" i="5"/>
  <c r="G158" i="5"/>
  <c r="G177" i="5"/>
  <c r="G206" i="5"/>
  <c r="AB222" i="5"/>
  <c r="G227" i="5"/>
  <c r="G247" i="5"/>
  <c r="AB254" i="5"/>
  <c r="H255" i="5"/>
  <c r="J255" i="5"/>
  <c r="AB258" i="5"/>
  <c r="AB270" i="5"/>
  <c r="V277" i="5"/>
  <c r="G277" i="5" s="1"/>
  <c r="V290" i="5"/>
  <c r="G290" i="5" s="1"/>
  <c r="I295" i="5"/>
  <c r="E317" i="5"/>
  <c r="X317" i="5" s="1"/>
  <c r="G329" i="5"/>
  <c r="J329" i="5"/>
  <c r="H329" i="5"/>
  <c r="F329" i="5"/>
  <c r="E329" i="5"/>
  <c r="X329" i="5" s="1"/>
  <c r="T339" i="5"/>
  <c r="S339" i="5"/>
  <c r="T358" i="5"/>
  <c r="S358" i="5"/>
  <c r="AB363" i="5"/>
  <c r="T363" i="5"/>
  <c r="S363" i="5"/>
  <c r="I369" i="5"/>
  <c r="J369" i="5"/>
  <c r="H369" i="5"/>
  <c r="F369" i="5"/>
  <c r="E369" i="5"/>
  <c r="X369" i="5" s="1"/>
  <c r="I389" i="5"/>
  <c r="R389" i="5"/>
  <c r="J389" i="5"/>
  <c r="H389" i="5"/>
  <c r="F389" i="5"/>
  <c r="E389" i="5"/>
  <c r="X389" i="5" s="1"/>
  <c r="T398" i="5"/>
  <c r="S398" i="5"/>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I341" i="5"/>
  <c r="R341" i="5"/>
  <c r="J341" i="5"/>
  <c r="H341" i="5"/>
  <c r="F341" i="5"/>
  <c r="I397" i="5"/>
  <c r="R397" i="5"/>
  <c r="J397" i="5"/>
  <c r="H397" i="5"/>
  <c r="F397" i="5"/>
  <c r="E397" i="5"/>
  <c r="X397" i="5" s="1"/>
  <c r="V411" i="5"/>
  <c r="G411" i="5" s="1"/>
  <c r="E34" i="5"/>
  <c r="G36" i="5"/>
  <c r="R42" i="5"/>
  <c r="H46" i="5"/>
  <c r="H62" i="5"/>
  <c r="G35" i="5"/>
  <c r="E45" i="5"/>
  <c r="X45" i="5" s="1"/>
  <c r="J47" i="5"/>
  <c r="G50" i="5"/>
  <c r="G51" i="5"/>
  <c r="X55" i="5"/>
  <c r="I62" i="5"/>
  <c r="J63" i="5"/>
  <c r="G66" i="5"/>
  <c r="G67" i="5"/>
  <c r="I78" i="5"/>
  <c r="J79" i="5"/>
  <c r="G82" i="5"/>
  <c r="G83" i="5"/>
  <c r="I94" i="5"/>
  <c r="J95" i="5"/>
  <c r="G98" i="5"/>
  <c r="G99" i="5"/>
  <c r="E115" i="5"/>
  <c r="X115" i="5" s="1"/>
  <c r="AB118" i="5"/>
  <c r="G121" i="5"/>
  <c r="G129" i="5"/>
  <c r="AB130" i="5"/>
  <c r="E138" i="5"/>
  <c r="G139" i="5"/>
  <c r="H142" i="5"/>
  <c r="J147" i="5"/>
  <c r="T147" i="5" s="1"/>
  <c r="G155" i="5"/>
  <c r="H158" i="5"/>
  <c r="G159" i="5"/>
  <c r="E179" i="5"/>
  <c r="X179" i="5" s="1"/>
  <c r="AB182" i="5"/>
  <c r="G185" i="5"/>
  <c r="G193" i="5"/>
  <c r="AB194" i="5"/>
  <c r="E202" i="5"/>
  <c r="G203" i="5"/>
  <c r="J215" i="5"/>
  <c r="G231" i="5"/>
  <c r="H235" i="5"/>
  <c r="R235" i="5"/>
  <c r="G249" i="5"/>
  <c r="G253" i="5"/>
  <c r="E263" i="5"/>
  <c r="X263" i="5" s="1"/>
  <c r="G283" i="5"/>
  <c r="V293" i="5"/>
  <c r="G293" i="5" s="1"/>
  <c r="J295" i="5"/>
  <c r="H299" i="5"/>
  <c r="I299" i="5"/>
  <c r="F299" i="5"/>
  <c r="E299" i="5"/>
  <c r="X299" i="5" s="1"/>
  <c r="AB315" i="5"/>
  <c r="T315" i="5"/>
  <c r="G325" i="5"/>
  <c r="R325" i="5"/>
  <c r="J325" i="5"/>
  <c r="H325" i="5"/>
  <c r="AB330" i="5"/>
  <c r="S330" i="5"/>
  <c r="T342" i="5"/>
  <c r="S342" i="5"/>
  <c r="I348" i="5"/>
  <c r="R348" i="5"/>
  <c r="H348" i="5"/>
  <c r="F348" i="5"/>
  <c r="I353" i="5"/>
  <c r="R353" i="5"/>
  <c r="J353" i="5"/>
  <c r="H353" i="5"/>
  <c r="F353" i="5"/>
  <c r="R356" i="5"/>
  <c r="I356" i="5"/>
  <c r="T370" i="5"/>
  <c r="S370" i="5"/>
  <c r="T374" i="5"/>
  <c r="S374" i="5"/>
  <c r="S378" i="5"/>
  <c r="I380" i="5"/>
  <c r="R380" i="5"/>
  <c r="F380" i="5"/>
  <c r="T390" i="5"/>
  <c r="S390" i="5"/>
  <c r="AB395" i="5"/>
  <c r="T395" i="5"/>
  <c r="S395" i="5"/>
  <c r="E400" i="5"/>
  <c r="X400" i="5" s="1"/>
  <c r="H400" i="5"/>
  <c r="F400" i="5"/>
  <c r="I409" i="5"/>
  <c r="J409" i="5"/>
  <c r="H409" i="5"/>
  <c r="F409" i="5"/>
  <c r="E409" i="5"/>
  <c r="X409" i="5" s="1"/>
  <c r="E421" i="5"/>
  <c r="X421" i="5" s="1"/>
  <c r="F428" i="5"/>
  <c r="I445" i="5"/>
  <c r="R445" i="5"/>
  <c r="J445" i="5"/>
  <c r="H445" i="5"/>
  <c r="T477" i="5"/>
  <c r="S477" i="5"/>
  <c r="R516" i="5"/>
  <c r="H516" i="5"/>
  <c r="R532" i="5"/>
  <c r="H532" i="5"/>
  <c r="T565" i="5"/>
  <c r="S565" i="5"/>
  <c r="E660" i="5"/>
  <c r="X660" i="5" s="1"/>
  <c r="R660" i="5"/>
  <c r="F660" i="5"/>
  <c r="AB867" i="5"/>
  <c r="V867" i="5"/>
  <c r="J867" i="5" s="1"/>
  <c r="T1003" i="5"/>
  <c r="S1003" i="5"/>
  <c r="AB1003" i="5"/>
  <c r="H219" i="5"/>
  <c r="I219" i="5"/>
  <c r="E219" i="5"/>
  <c r="X219" i="5" s="1"/>
  <c r="AB290" i="5"/>
  <c r="I349" i="5"/>
  <c r="J349" i="5"/>
  <c r="H349" i="5"/>
  <c r="F349" i="5"/>
  <c r="E349" i="5"/>
  <c r="X349" i="5" s="1"/>
  <c r="I381" i="5"/>
  <c r="J381" i="5"/>
  <c r="H381" i="5"/>
  <c r="F381" i="5"/>
  <c r="E381" i="5"/>
  <c r="X381" i="5" s="1"/>
  <c r="E408" i="5"/>
  <c r="X408" i="5" s="1"/>
  <c r="I408" i="5"/>
  <c r="H408" i="5"/>
  <c r="F408" i="5"/>
  <c r="I425" i="5"/>
  <c r="J425" i="5"/>
  <c r="H425" i="5"/>
  <c r="F425" i="5"/>
  <c r="E425" i="5"/>
  <c r="X425" i="5" s="1"/>
  <c r="E50" i="5"/>
  <c r="G52" i="5"/>
  <c r="R58" i="5"/>
  <c r="E23" i="5"/>
  <c r="X23" i="5" s="1"/>
  <c r="G24" i="5"/>
  <c r="J25" i="5"/>
  <c r="AB26" i="5"/>
  <c r="G31" i="5"/>
  <c r="G34" i="5"/>
  <c r="E39" i="5"/>
  <c r="X39" i="5" s="1"/>
  <c r="I46" i="5"/>
  <c r="AB22" i="5"/>
  <c r="F23" i="5"/>
  <c r="I24" i="5"/>
  <c r="R25" i="5"/>
  <c r="G30" i="5"/>
  <c r="H34" i="5"/>
  <c r="E38" i="5"/>
  <c r="F39" i="5"/>
  <c r="G40" i="5"/>
  <c r="I45" i="5"/>
  <c r="R47" i="5"/>
  <c r="H50" i="5"/>
  <c r="E54" i="5"/>
  <c r="G56" i="5"/>
  <c r="R63" i="5"/>
  <c r="H66" i="5"/>
  <c r="E70" i="5"/>
  <c r="G72" i="5"/>
  <c r="R79" i="5"/>
  <c r="H82" i="5"/>
  <c r="E86" i="5"/>
  <c r="G88" i="5"/>
  <c r="R95" i="5"/>
  <c r="H98" i="5"/>
  <c r="E103" i="5"/>
  <c r="X103" i="5" s="1"/>
  <c r="AB108" i="5"/>
  <c r="E111" i="5"/>
  <c r="X111" i="5" s="1"/>
  <c r="F115" i="5"/>
  <c r="AB124" i="5"/>
  <c r="AB128" i="5"/>
  <c r="E137" i="5"/>
  <c r="X137" i="5" s="1"/>
  <c r="AB146" i="5"/>
  <c r="R147" i="5"/>
  <c r="G154" i="5"/>
  <c r="G157" i="5"/>
  <c r="G162" i="5"/>
  <c r="E166" i="5"/>
  <c r="X166" i="5" s="1"/>
  <c r="E167" i="5"/>
  <c r="X167" i="5" s="1"/>
  <c r="AB172" i="5"/>
  <c r="E175" i="5"/>
  <c r="X175" i="5" s="1"/>
  <c r="F179" i="5"/>
  <c r="AB188" i="5"/>
  <c r="AB192" i="5"/>
  <c r="AB206" i="5"/>
  <c r="AB214" i="5"/>
  <c r="AB226" i="5"/>
  <c r="E231" i="5"/>
  <c r="X231" i="5" s="1"/>
  <c r="E253" i="5"/>
  <c r="G258" i="5"/>
  <c r="V261" i="5"/>
  <c r="F263" i="5"/>
  <c r="G269" i="5"/>
  <c r="H271" i="5"/>
  <c r="J271" i="5"/>
  <c r="I271" i="5"/>
  <c r="R273" i="5"/>
  <c r="F273" i="5"/>
  <c r="E273" i="5"/>
  <c r="X273" i="5" s="1"/>
  <c r="R285" i="5"/>
  <c r="F285" i="5"/>
  <c r="E285" i="5"/>
  <c r="H291" i="5"/>
  <c r="R291" i="5"/>
  <c r="J291" i="5"/>
  <c r="I291" i="5"/>
  <c r="AB294" i="5"/>
  <c r="J304" i="5"/>
  <c r="I304" i="5"/>
  <c r="H304" i="5"/>
  <c r="V305" i="5"/>
  <c r="G305" i="5" s="1"/>
  <c r="E325" i="5"/>
  <c r="X325" i="5" s="1"/>
  <c r="AB337" i="5"/>
  <c r="E353" i="5"/>
  <c r="X353" i="5" s="1"/>
  <c r="H356" i="5"/>
  <c r="AB383" i="5"/>
  <c r="V395" i="5"/>
  <c r="G395" i="5" s="1"/>
  <c r="I400" i="5"/>
  <c r="I405" i="5"/>
  <c r="R405" i="5"/>
  <c r="J405" i="5"/>
  <c r="H405" i="5"/>
  <c r="R409" i="5"/>
  <c r="E412" i="5"/>
  <c r="X412" i="5" s="1"/>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S471" i="5"/>
  <c r="AB471" i="5"/>
  <c r="T471" i="5"/>
  <c r="AB477" i="5"/>
  <c r="T529" i="5"/>
  <c r="S529" i="5"/>
  <c r="AB529" i="5"/>
  <c r="R606" i="5"/>
  <c r="F606" i="5"/>
  <c r="J642" i="5"/>
  <c r="R642" i="5"/>
  <c r="G642" i="5"/>
  <c r="F642" i="5"/>
  <c r="H844" i="5"/>
  <c r="J844" i="5"/>
  <c r="AB266" i="5"/>
  <c r="V287" i="5"/>
  <c r="G287" i="5" s="1"/>
  <c r="I98" i="5"/>
  <c r="F103" i="5"/>
  <c r="F111" i="5"/>
  <c r="AB134" i="5"/>
  <c r="F137" i="5"/>
  <c r="F141" i="5"/>
  <c r="AB142" i="5"/>
  <c r="E145" i="5"/>
  <c r="X145" i="5" s="1"/>
  <c r="E161" i="5"/>
  <c r="X161" i="5" s="1"/>
  <c r="F167" i="5"/>
  <c r="F175" i="5"/>
  <c r="AB198" i="5"/>
  <c r="F205" i="5"/>
  <c r="F213" i="5"/>
  <c r="F219" i="5"/>
  <c r="F231" i="5"/>
  <c r="F253" i="5"/>
  <c r="E255" i="5"/>
  <c r="X255" i="5" s="1"/>
  <c r="E267" i="5"/>
  <c r="X267" i="5" s="1"/>
  <c r="H283" i="5"/>
  <c r="J283" i="5"/>
  <c r="I283" i="5"/>
  <c r="F283" i="5"/>
  <c r="E283" i="5"/>
  <c r="X283" i="5" s="1"/>
  <c r="AB306" i="5"/>
  <c r="AB323" i="5"/>
  <c r="T323" i="5"/>
  <c r="I345" i="5"/>
  <c r="R345" i="5"/>
  <c r="J345" i="5"/>
  <c r="H345" i="5"/>
  <c r="G347" i="5"/>
  <c r="S349" i="5"/>
  <c r="AB349" i="5"/>
  <c r="S381"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X456" i="5" s="1"/>
  <c r="R456" i="5"/>
  <c r="I456" i="5"/>
  <c r="H456" i="5"/>
  <c r="R760" i="5"/>
  <c r="I760" i="5"/>
  <c r="F760" i="5"/>
  <c r="E760" i="5"/>
  <c r="X760" i="5" s="1"/>
  <c r="G317" i="5"/>
  <c r="R317" i="5"/>
  <c r="J317" i="5"/>
  <c r="H317" i="5"/>
  <c r="T367" i="5"/>
  <c r="S367" i="5"/>
  <c r="G23" i="5"/>
  <c r="E33" i="5"/>
  <c r="X33" i="5" s="1"/>
  <c r="I34" i="5"/>
  <c r="G39" i="5"/>
  <c r="E49" i="5"/>
  <c r="X49" i="5" s="1"/>
  <c r="I50" i="5"/>
  <c r="E65" i="5"/>
  <c r="X65" i="5" s="1"/>
  <c r="I66" i="5"/>
  <c r="E81" i="5"/>
  <c r="X81" i="5" s="1"/>
  <c r="I82" i="5"/>
  <c r="G22" i="5"/>
  <c r="I23" i="5"/>
  <c r="I33" i="5"/>
  <c r="I39" i="5"/>
  <c r="G44" i="5"/>
  <c r="I49" i="5"/>
  <c r="I55" i="5"/>
  <c r="F59" i="5"/>
  <c r="G60" i="5"/>
  <c r="I65" i="5"/>
  <c r="F75" i="5"/>
  <c r="G76" i="5"/>
  <c r="I81" i="5"/>
  <c r="F91" i="5"/>
  <c r="G92" i="5"/>
  <c r="I97" i="5"/>
  <c r="F101" i="5"/>
  <c r="F107" i="5"/>
  <c r="E110" i="5"/>
  <c r="X110" i="5" s="1"/>
  <c r="I115" i="5"/>
  <c r="F123" i="5"/>
  <c r="F127" i="5"/>
  <c r="AB138" i="5"/>
  <c r="G145" i="5"/>
  <c r="AB154" i="5"/>
  <c r="AB158" i="5"/>
  <c r="F161" i="5"/>
  <c r="F171" i="5"/>
  <c r="E174" i="5"/>
  <c r="I179" i="5"/>
  <c r="F187" i="5"/>
  <c r="AB202" i="5"/>
  <c r="G219" i="5"/>
  <c r="AB223" i="5"/>
  <c r="I231" i="5"/>
  <c r="E233" i="5"/>
  <c r="G235" i="5"/>
  <c r="AB238" i="5"/>
  <c r="H239" i="5"/>
  <c r="J239" i="5"/>
  <c r="E245" i="5"/>
  <c r="X245" i="5" s="1"/>
  <c r="AB246" i="5"/>
  <c r="F255" i="5"/>
  <c r="R257" i="5"/>
  <c r="F257" i="5"/>
  <c r="AB259" i="5"/>
  <c r="G267" i="5"/>
  <c r="AB274" i="5"/>
  <c r="H275" i="5"/>
  <c r="E275" i="5"/>
  <c r="X275" i="5" s="1"/>
  <c r="R275" i="5"/>
  <c r="J275" i="5"/>
  <c r="G313" i="5"/>
  <c r="J313" i="5"/>
  <c r="H313" i="5"/>
  <c r="F313" i="5"/>
  <c r="E313" i="5"/>
  <c r="X313" i="5" s="1"/>
  <c r="R333" i="5"/>
  <c r="J333" i="5"/>
  <c r="H333" i="5"/>
  <c r="E333" i="5"/>
  <c r="X333" i="5" s="1"/>
  <c r="S341" i="5"/>
  <c r="T341" i="5"/>
  <c r="E345" i="5"/>
  <c r="X345" i="5" s="1"/>
  <c r="I357" i="5"/>
  <c r="R357" i="5"/>
  <c r="J357" i="5"/>
  <c r="H357" i="5"/>
  <c r="R364" i="5"/>
  <c r="R368" i="5"/>
  <c r="F368" i="5"/>
  <c r="T386" i="5"/>
  <c r="S386" i="5"/>
  <c r="E396" i="5"/>
  <c r="X396" i="5" s="1"/>
  <c r="R396" i="5"/>
  <c r="I396" i="5"/>
  <c r="H396" i="5"/>
  <c r="F396" i="5"/>
  <c r="I417" i="5"/>
  <c r="J417" i="5"/>
  <c r="H417" i="5"/>
  <c r="F417" i="5"/>
  <c r="E417" i="5"/>
  <c r="X417" i="5" s="1"/>
  <c r="E429" i="5"/>
  <c r="X429" i="5" s="1"/>
  <c r="F436" i="5"/>
  <c r="F456" i="5"/>
  <c r="E463" i="5"/>
  <c r="X463" i="5" s="1"/>
  <c r="T475" i="5"/>
  <c r="S475"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S322" i="5"/>
  <c r="J23" i="5"/>
  <c r="AB32" i="5"/>
  <c r="E37" i="5"/>
  <c r="X37" i="5" s="1"/>
  <c r="J39" i="5"/>
  <c r="E53" i="5"/>
  <c r="X53" i="5" s="1"/>
  <c r="J55" i="5"/>
  <c r="T55" i="5" s="1"/>
  <c r="E69" i="5"/>
  <c r="X69" i="5" s="1"/>
  <c r="E85" i="5"/>
  <c r="X85" i="5" s="1"/>
  <c r="G90" i="5"/>
  <c r="E95" i="5"/>
  <c r="X95" i="5" s="1"/>
  <c r="R101" i="5"/>
  <c r="I103" i="5"/>
  <c r="H110" i="5"/>
  <c r="I111" i="5"/>
  <c r="J115" i="5"/>
  <c r="R145" i="5"/>
  <c r="X147" i="5"/>
  <c r="G153" i="5"/>
  <c r="AB162" i="5"/>
  <c r="R165" i="5"/>
  <c r="I167" i="5"/>
  <c r="I175" i="5"/>
  <c r="J179" i="5"/>
  <c r="J219" i="5"/>
  <c r="G223" i="5"/>
  <c r="AB227" i="5"/>
  <c r="J231" i="5"/>
  <c r="F233" i="5"/>
  <c r="F245" i="5"/>
  <c r="AB247" i="5"/>
  <c r="V251" i="5"/>
  <c r="G255" i="5"/>
  <c r="H263" i="5"/>
  <c r="I263" i="5"/>
  <c r="I267" i="5"/>
  <c r="R269" i="5"/>
  <c r="F269" i="5"/>
  <c r="G289" i="5"/>
  <c r="V297" i="5"/>
  <c r="G297" i="5" s="1"/>
  <c r="G309" i="5"/>
  <c r="R309" i="5"/>
  <c r="J309" i="5"/>
  <c r="H309" i="5"/>
  <c r="AB314" i="5"/>
  <c r="S314" i="5"/>
  <c r="R321" i="5"/>
  <c r="AB331" i="5"/>
  <c r="T331" i="5"/>
  <c r="T334" i="5"/>
  <c r="S334"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X424" i="5" s="1"/>
  <c r="I424" i="5"/>
  <c r="H424" i="5"/>
  <c r="F424" i="5"/>
  <c r="V427" i="5"/>
  <c r="G427" i="5" s="1"/>
  <c r="F429" i="5"/>
  <c r="I441" i="5"/>
  <c r="J441" i="5"/>
  <c r="H441" i="5"/>
  <c r="F441" i="5"/>
  <c r="E441" i="5"/>
  <c r="X441" i="5" s="1"/>
  <c r="R448" i="5"/>
  <c r="AB545" i="5"/>
  <c r="T545" i="5"/>
  <c r="S545" i="5"/>
  <c r="J508" i="5"/>
  <c r="G508" i="5"/>
  <c r="J540" i="5"/>
  <c r="G540" i="5"/>
  <c r="R544" i="5"/>
  <c r="J544" i="5"/>
  <c r="H544" i="5"/>
  <c r="T547" i="5"/>
  <c r="S547" i="5"/>
  <c r="E564" i="5"/>
  <c r="X564" i="5" s="1"/>
  <c r="F564" i="5"/>
  <c r="R564" i="5"/>
  <c r="T573" i="5"/>
  <c r="S573" i="5"/>
  <c r="AB611" i="5"/>
  <c r="T611" i="5"/>
  <c r="AB623" i="5"/>
  <c r="S623" i="5"/>
  <c r="T655" i="5"/>
  <c r="S655" i="5"/>
  <c r="I666" i="5"/>
  <c r="R666" i="5"/>
  <c r="J666" i="5"/>
  <c r="F666" i="5"/>
  <c r="E666" i="5"/>
  <c r="X666" i="5" s="1"/>
  <c r="G699" i="5"/>
  <c r="S704" i="5"/>
  <c r="AB704" i="5"/>
  <c r="T704" i="5"/>
  <c r="V717" i="5"/>
  <c r="G717" i="5" s="1"/>
  <c r="I734" i="5"/>
  <c r="J734" i="5"/>
  <c r="F734" i="5"/>
  <c r="E734" i="5"/>
  <c r="X734" i="5" s="1"/>
  <c r="AB752" i="5"/>
  <c r="V752" i="5"/>
  <c r="AB849" i="5"/>
  <c r="T849" i="5"/>
  <c r="S849" i="5"/>
  <c r="H1006" i="5"/>
  <c r="F1006" i="5"/>
  <c r="E1006" i="5"/>
  <c r="X1006" i="5" s="1"/>
  <c r="R1408" i="5"/>
  <c r="J1408" i="5"/>
  <c r="I1414" i="5"/>
  <c r="R1414" i="5"/>
  <c r="H1414" i="5"/>
  <c r="F1414" i="5"/>
  <c r="R1553" i="5"/>
  <c r="F1553" i="5"/>
  <c r="AB243" i="5"/>
  <c r="AB279" i="5"/>
  <c r="V279" i="5"/>
  <c r="G279" i="5" s="1"/>
  <c r="AB311" i="5"/>
  <c r="AB319" i="5"/>
  <c r="AB327" i="5"/>
  <c r="AB344" i="5"/>
  <c r="AB347" i="5"/>
  <c r="R361" i="5"/>
  <c r="V365" i="5"/>
  <c r="V379" i="5"/>
  <c r="R379" i="5" s="1"/>
  <c r="T383" i="5"/>
  <c r="AB388" i="5"/>
  <c r="R392" i="5"/>
  <c r="R393" i="5"/>
  <c r="V407" i="5"/>
  <c r="R407" i="5" s="1"/>
  <c r="V415" i="5"/>
  <c r="AB417" i="5"/>
  <c r="V423" i="5"/>
  <c r="H423" i="5" s="1"/>
  <c r="AB425" i="5"/>
  <c r="V431" i="5"/>
  <c r="G431" i="5" s="1"/>
  <c r="AB433" i="5"/>
  <c r="V439" i="5"/>
  <c r="G439" i="5" s="1"/>
  <c r="AB441" i="5"/>
  <c r="V447" i="5"/>
  <c r="G447" i="5" s="1"/>
  <c r="AB449" i="5"/>
  <c r="I451" i="5"/>
  <c r="I452" i="5"/>
  <c r="R461" i="5"/>
  <c r="E461" i="5"/>
  <c r="X461" i="5" s="1"/>
  <c r="V472" i="5"/>
  <c r="I472" i="5" s="1"/>
  <c r="AB489" i="5"/>
  <c r="AB501" i="5"/>
  <c r="S503" i="5"/>
  <c r="AB505" i="5"/>
  <c r="S507" i="5"/>
  <c r="AB513" i="5"/>
  <c r="AB521" i="5"/>
  <c r="AB537" i="5"/>
  <c r="S539" i="5"/>
  <c r="H543" i="5"/>
  <c r="E547" i="5"/>
  <c r="X547" i="5" s="1"/>
  <c r="R556" i="5"/>
  <c r="J556" i="5"/>
  <c r="F562" i="5"/>
  <c r="H563" i="5"/>
  <c r="F563" i="5"/>
  <c r="E563" i="5"/>
  <c r="X563" i="5" s="1"/>
  <c r="S569" i="5"/>
  <c r="AB571" i="5"/>
  <c r="S61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S403" i="5"/>
  <c r="AB407" i="5"/>
  <c r="AB415" i="5"/>
  <c r="AB423" i="5"/>
  <c r="AB424" i="5"/>
  <c r="AB431" i="5"/>
  <c r="AB432" i="5"/>
  <c r="AB439" i="5"/>
  <c r="AB440" i="5"/>
  <c r="AB447" i="5"/>
  <c r="AB448" i="5"/>
  <c r="R452" i="5"/>
  <c r="AB461" i="5"/>
  <c r="S479" i="5"/>
  <c r="I487" i="5"/>
  <c r="F487" i="5"/>
  <c r="H507" i="5"/>
  <c r="E507" i="5"/>
  <c r="X507" i="5" s="1"/>
  <c r="T533" i="5"/>
  <c r="S533" i="5"/>
  <c r="H539" i="5"/>
  <c r="E539" i="5"/>
  <c r="X539" i="5" s="1"/>
  <c r="H547" i="5"/>
  <c r="I551" i="5"/>
  <c r="H551" i="5"/>
  <c r="F551" i="5"/>
  <c r="E551" i="5"/>
  <c r="X551" i="5" s="1"/>
  <c r="E552" i="5"/>
  <c r="X552" i="5" s="1"/>
  <c r="G552" i="5"/>
  <c r="F552" i="5"/>
  <c r="R552" i="5"/>
  <c r="T555" i="5"/>
  <c r="S555"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S411" i="5"/>
  <c r="S419" i="5"/>
  <c r="S427" i="5"/>
  <c r="S435" i="5"/>
  <c r="S443" i="5"/>
  <c r="I453" i="5"/>
  <c r="E453" i="5"/>
  <c r="X453" i="5" s="1"/>
  <c r="S462" i="5"/>
  <c r="T462" i="5"/>
  <c r="H512" i="5"/>
  <c r="R512" i="5"/>
  <c r="F512" i="5"/>
  <c r="V524" i="5"/>
  <c r="G524" i="5" s="1"/>
  <c r="R598" i="5"/>
  <c r="F598" i="5"/>
  <c r="T605" i="5"/>
  <c r="S605" i="5"/>
  <c r="R618" i="5"/>
  <c r="G618" i="5"/>
  <c r="V650" i="5"/>
  <c r="G650" i="5" s="1"/>
  <c r="R691" i="5"/>
  <c r="H691" i="5"/>
  <c r="V814" i="5"/>
  <c r="H814" i="5" s="1"/>
  <c r="E828" i="5"/>
  <c r="X828" i="5" s="1"/>
  <c r="J828" i="5"/>
  <c r="H828" i="5"/>
  <c r="F828" i="5"/>
  <c r="T884" i="5"/>
  <c r="S884" i="5"/>
  <c r="T971" i="5"/>
  <c r="AB971" i="5"/>
  <c r="S971" i="5"/>
  <c r="AB234" i="5"/>
  <c r="AB250" i="5"/>
  <c r="AB271" i="5"/>
  <c r="AB286" i="5"/>
  <c r="AB291" i="5"/>
  <c r="E302" i="5"/>
  <c r="X302" i="5" s="1"/>
  <c r="V303" i="5"/>
  <c r="G303" i="5" s="1"/>
  <c r="AB304" i="5"/>
  <c r="J314" i="5"/>
  <c r="S316" i="5"/>
  <c r="T319" i="5"/>
  <c r="J322" i="5"/>
  <c r="S324" i="5"/>
  <c r="T327" i="5"/>
  <c r="S336" i="5"/>
  <c r="S350" i="5"/>
  <c r="S355" i="5"/>
  <c r="T357" i="5"/>
  <c r="AB371" i="5"/>
  <c r="R372" i="5"/>
  <c r="S382" i="5"/>
  <c r="AB387" i="5"/>
  <c r="AB391" i="5"/>
  <c r="AB392" i="5"/>
  <c r="AB399" i="5"/>
  <c r="S402" i="5"/>
  <c r="S410" i="5"/>
  <c r="S418" i="5"/>
  <c r="S426" i="5"/>
  <c r="S434" i="5"/>
  <c r="S442" i="5"/>
  <c r="AB460" i="5"/>
  <c r="AB462" i="5"/>
  <c r="G476" i="5"/>
  <c r="T499" i="5"/>
  <c r="S499" i="5"/>
  <c r="R504" i="5"/>
  <c r="G512" i="5"/>
  <c r="J520" i="5"/>
  <c r="R520" i="5"/>
  <c r="AB533" i="5"/>
  <c r="R536" i="5"/>
  <c r="AB547" i="5"/>
  <c r="AB555" i="5"/>
  <c r="G566" i="5"/>
  <c r="G568" i="5"/>
  <c r="G572" i="5"/>
  <c r="R574" i="5"/>
  <c r="V576" i="5"/>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AB287" i="5"/>
  <c r="H302" i="5"/>
  <c r="AB309" i="5"/>
  <c r="AB317" i="5"/>
  <c r="AB325" i="5"/>
  <c r="S332" i="5"/>
  <c r="AB335" i="5"/>
  <c r="T355" i="5"/>
  <c r="E361" i="5"/>
  <c r="X361" i="5" s="1"/>
  <c r="E393" i="5"/>
  <c r="X393" i="5" s="1"/>
  <c r="AB413" i="5"/>
  <c r="AB421" i="5"/>
  <c r="AB429" i="5"/>
  <c r="AB437" i="5"/>
  <c r="AB445" i="5"/>
  <c r="E455" i="5"/>
  <c r="X455" i="5" s="1"/>
  <c r="I455" i="5"/>
  <c r="AB463" i="5"/>
  <c r="S469" i="5"/>
  <c r="H491" i="5"/>
  <c r="F491" i="5"/>
  <c r="H495" i="5"/>
  <c r="E495" i="5"/>
  <c r="X495" i="5" s="1"/>
  <c r="V496" i="5"/>
  <c r="G496" i="5" s="1"/>
  <c r="AB504" i="5"/>
  <c r="H508" i="5"/>
  <c r="T511" i="5"/>
  <c r="S511" i="5"/>
  <c r="J512" i="5"/>
  <c r="T523" i="5"/>
  <c r="S523" i="5"/>
  <c r="T531" i="5"/>
  <c r="S531" i="5"/>
  <c r="H540" i="5"/>
  <c r="F544" i="5"/>
  <c r="AB559" i="5"/>
  <c r="G564" i="5"/>
  <c r="T579" i="5"/>
  <c r="S579" i="5"/>
  <c r="S583" i="5"/>
  <c r="S591" i="5"/>
  <c r="R614" i="5"/>
  <c r="G614" i="5"/>
  <c r="AB619" i="5"/>
  <c r="T619" i="5"/>
  <c r="S619" i="5"/>
  <c r="E624" i="5"/>
  <c r="X624" i="5" s="1"/>
  <c r="F624" i="5"/>
  <c r="R624" i="5"/>
  <c r="J624" i="5"/>
  <c r="V634" i="5"/>
  <c r="G634" i="5" s="1"/>
  <c r="R692" i="5"/>
  <c r="J692" i="5"/>
  <c r="I692" i="5"/>
  <c r="E692" i="5"/>
  <c r="X692" i="5" s="1"/>
  <c r="J708" i="5"/>
  <c r="I708" i="5"/>
  <c r="J716" i="5"/>
  <c r="I716" i="5"/>
  <c r="F716" i="5"/>
  <c r="F720" i="5"/>
  <c r="J720" i="5"/>
  <c r="I720" i="5"/>
  <c r="E720" i="5"/>
  <c r="X720" i="5" s="1"/>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T543" i="5"/>
  <c r="S543"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X1054" i="5" s="1"/>
  <c r="H1078" i="5"/>
  <c r="E1078" i="5"/>
  <c r="X1078" i="5" s="1"/>
  <c r="T1265" i="5"/>
  <c r="S1265" i="5"/>
  <c r="AB1265" i="5"/>
  <c r="AB602" i="5"/>
  <c r="J612" i="5"/>
  <c r="AB629" i="5"/>
  <c r="AB634" i="5"/>
  <c r="AB650" i="5"/>
  <c r="R652" i="5"/>
  <c r="G658" i="5"/>
  <c r="V662" i="5"/>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X934" i="5" s="1"/>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T497" i="5"/>
  <c r="T501" i="5"/>
  <c r="S559" i="5"/>
  <c r="T599" i="5"/>
  <c r="F616" i="5"/>
  <c r="AB625" i="5"/>
  <c r="T631" i="5"/>
  <c r="AB637" i="5"/>
  <c r="J644" i="5"/>
  <c r="T647" i="5"/>
  <c r="AB653" i="5"/>
  <c r="AB657" i="5"/>
  <c r="G660" i="5"/>
  <c r="S663" i="5"/>
  <c r="F672" i="5"/>
  <c r="I676" i="5"/>
  <c r="E678" i="5"/>
  <c r="X678" i="5" s="1"/>
  <c r="G689" i="5"/>
  <c r="S695" i="5"/>
  <c r="G697" i="5"/>
  <c r="H700" i="5"/>
  <c r="G701" i="5"/>
  <c r="AB709" i="5"/>
  <c r="V710" i="5"/>
  <c r="J710" i="5" s="1"/>
  <c r="AB717" i="5"/>
  <c r="V718" i="5"/>
  <c r="H718" i="5" s="1"/>
  <c r="G723" i="5"/>
  <c r="G727" i="5"/>
  <c r="G735" i="5"/>
  <c r="G741" i="5"/>
  <c r="V746" i="5"/>
  <c r="I748" i="5"/>
  <c r="E756" i="5"/>
  <c r="X756" i="5" s="1"/>
  <c r="F758" i="5"/>
  <c r="V762" i="5"/>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S607"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I672" i="5"/>
  <c r="E674" i="5"/>
  <c r="X674" i="5" s="1"/>
  <c r="H688" i="5"/>
  <c r="S697" i="5"/>
  <c r="J700" i="5"/>
  <c r="V738" i="5"/>
  <c r="H738" i="5" s="1"/>
  <c r="I740" i="5"/>
  <c r="J758" i="5"/>
  <c r="R768" i="5"/>
  <c r="I768" i="5"/>
  <c r="F772" i="5"/>
  <c r="T776" i="5"/>
  <c r="R788" i="5"/>
  <c r="I788" i="5"/>
  <c r="T792" i="5"/>
  <c r="J798" i="5"/>
  <c r="I800" i="5"/>
  <c r="E802" i="5"/>
  <c r="X802" i="5" s="1"/>
  <c r="S804" i="5"/>
  <c r="T804" i="5"/>
  <c r="I808" i="5"/>
  <c r="F808" i="5"/>
  <c r="R808" i="5"/>
  <c r="AB812" i="5"/>
  <c r="J820" i="5"/>
  <c r="F820" i="5"/>
  <c r="E820" i="5"/>
  <c r="X820" i="5" s="1"/>
  <c r="H825" i="5"/>
  <c r="J825" i="5"/>
  <c r="AB829" i="5"/>
  <c r="J832" i="5"/>
  <c r="J848" i="5"/>
  <c r="H848" i="5"/>
  <c r="H872" i="5"/>
  <c r="J872"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H987" i="5"/>
  <c r="T990" i="5"/>
  <c r="J991" i="5"/>
  <c r="AB995" i="5"/>
  <c r="H1011" i="5"/>
  <c r="S1015" i="5"/>
  <c r="AB1019" i="5"/>
  <c r="H1031" i="5"/>
  <c r="S1035" i="5"/>
  <c r="V1039" i="5"/>
  <c r="G1039" i="5" s="1"/>
  <c r="G1047" i="5"/>
  <c r="S1048" i="5"/>
  <c r="T1050" i="5"/>
  <c r="J1051" i="5"/>
  <c r="S1055" i="5"/>
  <c r="S1060" i="5"/>
  <c r="AB1062" i="5"/>
  <c r="S1066" i="5"/>
  <c r="E1067" i="5"/>
  <c r="X1067" i="5" s="1"/>
  <c r="F1067" i="5"/>
  <c r="T1080" i="5"/>
  <c r="S1080" i="5"/>
  <c r="S1083" i="5"/>
  <c r="S1088" i="5"/>
  <c r="F1102" i="5"/>
  <c r="V1110" i="5"/>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J987"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R1233" i="5"/>
  <c r="I1233" i="5"/>
  <c r="F1233" i="5"/>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I1140" i="5"/>
  <c r="E1154" i="5"/>
  <c r="X1154" i="5" s="1"/>
  <c r="F1154" i="5"/>
  <c r="J1154" i="5"/>
  <c r="AB1181" i="5"/>
  <c r="V1181" i="5"/>
  <c r="G1181" i="5" s="1"/>
  <c r="AB1189" i="5"/>
  <c r="S1201" i="5"/>
  <c r="AB1201" i="5"/>
  <c r="R1213" i="5"/>
  <c r="H1213" i="5"/>
  <c r="F1213" i="5"/>
  <c r="E1213" i="5"/>
  <c r="X1213" i="5" s="1"/>
  <c r="J1213" i="5"/>
  <c r="S1221" i="5"/>
  <c r="AB1221" i="5"/>
  <c r="T1221" i="5"/>
  <c r="V1224" i="5"/>
  <c r="E1224" i="5" s="1"/>
  <c r="X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G1123" i="5"/>
  <c r="V1123" i="5"/>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F1051"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E1099" i="5"/>
  <c r="X1099" i="5" s="1"/>
  <c r="H1099" i="5"/>
  <c r="V1115" i="5"/>
  <c r="G1115" i="5" s="1"/>
  <c r="H1173" i="5"/>
  <c r="AB1185" i="5"/>
  <c r="H1189" i="5"/>
  <c r="F1189" i="5"/>
  <c r="R1197" i="5"/>
  <c r="H1197" i="5"/>
  <c r="F1197" i="5"/>
  <c r="E1197" i="5"/>
  <c r="X1197" i="5" s="1"/>
  <c r="V1204" i="5"/>
  <c r="AB1204" i="5"/>
  <c r="T1229" i="5"/>
  <c r="S1229" i="5"/>
  <c r="AB1229" i="5"/>
  <c r="V1289" i="5"/>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G1253" i="5"/>
  <c r="V1253" i="5"/>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G1233" i="5"/>
  <c r="AB1256" i="5"/>
  <c r="AB1269" i="5"/>
  <c r="T1271" i="5"/>
  <c r="S1271" i="5"/>
  <c r="S1279" i="5"/>
  <c r="AB1285" i="5"/>
  <c r="F1356" i="5"/>
  <c r="E1356" i="5"/>
  <c r="X1356" i="5" s="1"/>
  <c r="AB1381" i="5"/>
  <c r="T1384" i="5"/>
  <c r="S1384" i="5"/>
  <c r="AB1467" i="5"/>
  <c r="E1729" i="5"/>
  <c r="X1729" i="5" s="1"/>
  <c r="H1729" i="5"/>
  <c r="F1729" i="5"/>
  <c r="I1729" i="5"/>
  <c r="AB1297" i="5"/>
  <c r="I1313"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R1735" i="5"/>
  <c r="J1735" i="5"/>
  <c r="I1735" i="5"/>
  <c r="H1735" i="5"/>
  <c r="F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AB1289" i="5"/>
  <c r="G1301" i="5"/>
  <c r="S1302" i="5"/>
  <c r="T1313" i="5"/>
  <c r="AB1316" i="5"/>
  <c r="V1317" i="5"/>
  <c r="G1317" i="5" s="1"/>
  <c r="AB1321" i="5"/>
  <c r="G1333" i="5"/>
  <c r="S1334" i="5"/>
  <c r="G1336" i="5"/>
  <c r="G1349" i="5"/>
  <c r="S1382" i="5"/>
  <c r="AB1390" i="5"/>
  <c r="G1397" i="5"/>
  <c r="AB1405" i="5"/>
  <c r="G1414" i="5"/>
  <c r="V1430" i="5"/>
  <c r="V1438" i="5"/>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E1673" i="5"/>
  <c r="X1673" i="5" s="1"/>
  <c r="H1673" i="5"/>
  <c r="F1673"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G1325" i="5"/>
  <c r="T1332" i="5"/>
  <c r="S1339" i="5"/>
  <c r="AB1360" i="5"/>
  <c r="F1371" i="5"/>
  <c r="F1380" i="5"/>
  <c r="G1410" i="5"/>
  <c r="G1423" i="5"/>
  <c r="F1450" i="5"/>
  <c r="E1451" i="5"/>
  <c r="X1451" i="5" s="1"/>
  <c r="G1467" i="5"/>
  <c r="I1468" i="5"/>
  <c r="AB1481" i="5"/>
  <c r="S1481" i="5"/>
  <c r="T1485" i="5"/>
  <c r="T1489" i="5"/>
  <c r="H1491" i="5"/>
  <c r="J1492" i="5"/>
  <c r="S1499" i="5"/>
  <c r="V1508" i="5"/>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I1325" i="5"/>
  <c r="S1329" i="5"/>
  <c r="T1333" i="5"/>
  <c r="S1335" i="5"/>
  <c r="S1338" i="5"/>
  <c r="F1341" i="5"/>
  <c r="S1342" i="5"/>
  <c r="T1346" i="5"/>
  <c r="T1348" i="5"/>
  <c r="AB1358" i="5"/>
  <c r="S1360" i="5"/>
  <c r="T1362" i="5"/>
  <c r="F1364" i="5"/>
  <c r="G1371" i="5"/>
  <c r="G1377" i="5"/>
  <c r="H1380" i="5"/>
  <c r="S1396" i="5"/>
  <c r="F1402" i="5"/>
  <c r="I1403"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T1786" i="5"/>
  <c r="AB1786" i="5"/>
  <c r="S1786" i="5"/>
  <c r="E1816" i="5"/>
  <c r="X1816" i="5" s="1"/>
  <c r="J1816" i="5"/>
  <c r="R1893" i="5"/>
  <c r="F1893" i="5"/>
  <c r="E1893" i="5"/>
  <c r="X1893" i="5" s="1"/>
  <c r="J1893" i="5"/>
  <c r="I1893" i="5"/>
  <c r="AB1232" i="5"/>
  <c r="AB1248" i="5"/>
  <c r="S1267" i="5"/>
  <c r="S1286" i="5"/>
  <c r="S1299" i="5"/>
  <c r="F1313"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E1633" i="5"/>
  <c r="X1633" i="5" s="1"/>
  <c r="H1633" i="5"/>
  <c r="T1647" i="5"/>
  <c r="S1647" i="5"/>
  <c r="E1649" i="5"/>
  <c r="X1649" i="5" s="1"/>
  <c r="I1649" i="5"/>
  <c r="H1649" i="5"/>
  <c r="F1649" i="5"/>
  <c r="AB1684" i="5"/>
  <c r="V1684" i="5"/>
  <c r="F1684" i="5" s="1"/>
  <c r="AB1708" i="5"/>
  <c r="V1708" i="5"/>
  <c r="V1786" i="5"/>
  <c r="G1786" i="5" s="1"/>
  <c r="AB1799" i="5"/>
  <c r="T1799" i="5"/>
  <c r="S1799" i="5"/>
  <c r="I1843" i="5"/>
  <c r="H1843" i="5"/>
  <c r="R1908" i="5"/>
  <c r="I1908" i="5"/>
  <c r="R1916" i="5"/>
  <c r="I1916" i="5"/>
  <c r="G1218" i="5"/>
  <c r="F1277" i="5"/>
  <c r="S1282" i="5"/>
  <c r="F1309" i="5"/>
  <c r="S1314" i="5"/>
  <c r="AB1361" i="5"/>
  <c r="G1385"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AB1754" i="5"/>
  <c r="T1790" i="5"/>
  <c r="AB1790" i="5"/>
  <c r="S1790" i="5"/>
  <c r="AB1811" i="5"/>
  <c r="T1811" i="5"/>
  <c r="S1811" i="5"/>
  <c r="G1843" i="5"/>
  <c r="T1872" i="5"/>
  <c r="AB1872" i="5"/>
  <c r="AB1513" i="5"/>
  <c r="AB1537" i="5"/>
  <c r="AB1542" i="5"/>
  <c r="AB1581" i="5"/>
  <c r="AB1613" i="5"/>
  <c r="V1641" i="5"/>
  <c r="G1641" i="5" s="1"/>
  <c r="V1657" i="5"/>
  <c r="G1657" i="5" s="1"/>
  <c r="I1665" i="5"/>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F2012" i="5"/>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AB1645" i="5"/>
  <c r="AB1648" i="5"/>
  <c r="S1651" i="5"/>
  <c r="AB1653" i="5"/>
  <c r="AB1656" i="5"/>
  <c r="AB1659" i="5"/>
  <c r="I1661" i="5"/>
  <c r="S1680" i="5"/>
  <c r="I1681"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F1665"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R221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R2257"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H2325"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F2189" i="5"/>
  <c r="AB2197" i="5"/>
  <c r="AB2200" i="5"/>
  <c r="AB2213" i="5"/>
  <c r="AB2216" i="5"/>
  <c r="G2218" i="5"/>
  <c r="E2221" i="5"/>
  <c r="X2221" i="5" s="1"/>
  <c r="AB2253" i="5"/>
  <c r="E2257" i="5"/>
  <c r="X2257" i="5" s="1"/>
  <c r="E2261" i="5"/>
  <c r="X2261" i="5" s="1"/>
  <c r="S2270" i="5"/>
  <c r="AB2277" i="5"/>
  <c r="AB2293" i="5"/>
  <c r="V2293" i="5"/>
  <c r="J2293" i="5" s="1"/>
  <c r="S2296" i="5"/>
  <c r="I2303" i="5"/>
  <c r="F2309" i="5"/>
  <c r="V2310" i="5"/>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AB2184" i="5"/>
  <c r="AB2188" i="5"/>
  <c r="AB2192" i="5"/>
  <c r="G2194" i="5"/>
  <c r="E2197" i="5"/>
  <c r="X2197" i="5" s="1"/>
  <c r="G2202" i="5"/>
  <c r="AB2205" i="5"/>
  <c r="AB2208" i="5"/>
  <c r="G2210" i="5"/>
  <c r="E2213" i="5"/>
  <c r="X2213" i="5" s="1"/>
  <c r="H2218" i="5"/>
  <c r="F2221" i="5"/>
  <c r="V2232" i="5"/>
  <c r="AB2240" i="5"/>
  <c r="AB2249" i="5"/>
  <c r="E2253" i="5"/>
  <c r="X2253" i="5" s="1"/>
  <c r="F2257"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F2253" i="5"/>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V2334" i="5"/>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I2484" i="5"/>
  <c r="E2494" i="5"/>
  <c r="H2503" i="5"/>
  <c r="AB2386" i="5"/>
  <c r="H2397"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E18" i="5"/>
  <c r="G6" i="5"/>
  <c r="J5" i="5"/>
  <c r="F19" i="6"/>
  <c r="X341" i="5"/>
  <c r="X304" i="5"/>
  <c r="AB23" i="5"/>
  <c r="X28" i="5"/>
  <c r="V112" i="5"/>
  <c r="G112" i="5" s="1"/>
  <c r="AB115" i="5"/>
  <c r="F146" i="5"/>
  <c r="R146" i="5"/>
  <c r="J146" i="5"/>
  <c r="J149" i="5"/>
  <c r="I149" i="5"/>
  <c r="H149" i="5"/>
  <c r="V176" i="5"/>
  <c r="G176" i="5" s="1"/>
  <c r="AB179" i="5"/>
  <c r="AB201" i="5"/>
  <c r="H234" i="5"/>
  <c r="F234" i="5"/>
  <c r="E234" i="5"/>
  <c r="R234" i="5"/>
  <c r="J234" i="5"/>
  <c r="I234" i="5"/>
  <c r="H254" i="5"/>
  <c r="F254" i="5"/>
  <c r="E254" i="5"/>
  <c r="X254" i="5" s="1"/>
  <c r="R254" i="5"/>
  <c r="J254" i="5"/>
  <c r="I254" i="5"/>
  <c r="H286" i="5"/>
  <c r="F286" i="5"/>
  <c r="E286" i="5"/>
  <c r="X286" i="5" s="1"/>
  <c r="R286" i="5"/>
  <c r="J286" i="5"/>
  <c r="I286" i="5"/>
  <c r="AB320" i="5"/>
  <c r="V320" i="5"/>
  <c r="G320" i="5" s="1"/>
  <c r="AB412" i="5"/>
  <c r="T412" i="5"/>
  <c r="S412" i="5"/>
  <c r="AB105" i="5"/>
  <c r="F114" i="5"/>
  <c r="R114" i="5"/>
  <c r="J114" i="5"/>
  <c r="J117" i="5"/>
  <c r="I117" i="5"/>
  <c r="H117" i="5"/>
  <c r="AB137" i="5"/>
  <c r="V144" i="5"/>
  <c r="AB147" i="5"/>
  <c r="AB169" i="5"/>
  <c r="F178" i="5"/>
  <c r="R178" i="5"/>
  <c r="J178" i="5"/>
  <c r="J181" i="5"/>
  <c r="I181" i="5"/>
  <c r="H181" i="5"/>
  <c r="J209" i="5"/>
  <c r="I209" i="5"/>
  <c r="H209" i="5"/>
  <c r="G209" i="5"/>
  <c r="AB240" i="5"/>
  <c r="H270" i="5"/>
  <c r="F270" i="5"/>
  <c r="E270" i="5"/>
  <c r="X270" i="5" s="1"/>
  <c r="R270" i="5"/>
  <c r="J270" i="5"/>
  <c r="I270" i="5"/>
  <c r="R311" i="5"/>
  <c r="H311" i="5"/>
  <c r="I311" i="5"/>
  <c r="F311" i="5"/>
  <c r="E311" i="5"/>
  <c r="J311" i="5"/>
  <c r="R5" i="5"/>
  <c r="H6" i="5"/>
  <c r="I19" i="5"/>
  <c r="E20" i="5"/>
  <c r="X20" i="5" s="1"/>
  <c r="AB20" i="5"/>
  <c r="R21" i="5"/>
  <c r="H22" i="5"/>
  <c r="I27" i="5"/>
  <c r="AB28" i="5"/>
  <c r="R29" i="5"/>
  <c r="H30" i="5"/>
  <c r="F33" i="5"/>
  <c r="F34" i="5"/>
  <c r="J34" i="5"/>
  <c r="AB34" i="5"/>
  <c r="I36" i="5"/>
  <c r="F37" i="5"/>
  <c r="F38" i="5"/>
  <c r="J38" i="5"/>
  <c r="AB38" i="5"/>
  <c r="I40" i="5"/>
  <c r="F41" i="5"/>
  <c r="F42" i="5"/>
  <c r="J42" i="5"/>
  <c r="AB42" i="5"/>
  <c r="I44" i="5"/>
  <c r="F45" i="5"/>
  <c r="F46" i="5"/>
  <c r="J46" i="5"/>
  <c r="AB46" i="5"/>
  <c r="I48" i="5"/>
  <c r="F49" i="5"/>
  <c r="F50" i="5"/>
  <c r="J50" i="5"/>
  <c r="AB50" i="5"/>
  <c r="I52" i="5"/>
  <c r="F53" i="5"/>
  <c r="F54" i="5"/>
  <c r="J54" i="5"/>
  <c r="AB54" i="5"/>
  <c r="I56" i="5"/>
  <c r="F57" i="5"/>
  <c r="F58" i="5"/>
  <c r="J58" i="5"/>
  <c r="AB58" i="5"/>
  <c r="I60" i="5"/>
  <c r="F61" i="5"/>
  <c r="F62" i="5"/>
  <c r="J62" i="5"/>
  <c r="AB62" i="5"/>
  <c r="I64" i="5"/>
  <c r="F65" i="5"/>
  <c r="F66" i="5"/>
  <c r="J66" i="5"/>
  <c r="AB66" i="5"/>
  <c r="I68" i="5"/>
  <c r="F69" i="5"/>
  <c r="F70" i="5"/>
  <c r="J70" i="5"/>
  <c r="AB70" i="5"/>
  <c r="I72" i="5"/>
  <c r="F73" i="5"/>
  <c r="F74" i="5"/>
  <c r="J74" i="5"/>
  <c r="AB74" i="5"/>
  <c r="I76" i="5"/>
  <c r="F77" i="5"/>
  <c r="F78" i="5"/>
  <c r="J78" i="5"/>
  <c r="AB78" i="5"/>
  <c r="I80" i="5"/>
  <c r="F81" i="5"/>
  <c r="F82" i="5"/>
  <c r="J82" i="5"/>
  <c r="AB82" i="5"/>
  <c r="I84" i="5"/>
  <c r="F85" i="5"/>
  <c r="F86" i="5"/>
  <c r="J86" i="5"/>
  <c r="AB86" i="5"/>
  <c r="I88" i="5"/>
  <c r="F89" i="5"/>
  <c r="F90" i="5"/>
  <c r="J90" i="5"/>
  <c r="AB90" i="5"/>
  <c r="I92" i="5"/>
  <c r="F93" i="5"/>
  <c r="F94" i="5"/>
  <c r="J94" i="5"/>
  <c r="AB94" i="5"/>
  <c r="I96" i="5"/>
  <c r="F97" i="5"/>
  <c r="F98" i="5"/>
  <c r="J98" i="5"/>
  <c r="AB98" i="5"/>
  <c r="AB104" i="5"/>
  <c r="E114" i="5"/>
  <c r="AB117" i="5"/>
  <c r="H122" i="5"/>
  <c r="V124" i="5"/>
  <c r="G124" i="5" s="1"/>
  <c r="E125" i="5"/>
  <c r="X125" i="5" s="1"/>
  <c r="F126" i="5"/>
  <c r="R126" i="5"/>
  <c r="J126" i="5"/>
  <c r="AB127" i="5"/>
  <c r="J129" i="5"/>
  <c r="I129" i="5"/>
  <c r="H129" i="5"/>
  <c r="AB136" i="5"/>
  <c r="E146" i="5"/>
  <c r="AB149" i="5"/>
  <c r="H154" i="5"/>
  <c r="V156" i="5"/>
  <c r="G156" i="5" s="1"/>
  <c r="E157" i="5"/>
  <c r="X157" i="5" s="1"/>
  <c r="F158" i="5"/>
  <c r="R158" i="5"/>
  <c r="J158" i="5"/>
  <c r="AB159" i="5"/>
  <c r="J161" i="5"/>
  <c r="I161" i="5"/>
  <c r="H161" i="5"/>
  <c r="AB168" i="5"/>
  <c r="E178" i="5"/>
  <c r="X178" i="5" s="1"/>
  <c r="AB181" i="5"/>
  <c r="H186" i="5"/>
  <c r="V188" i="5"/>
  <c r="G188" i="5" s="1"/>
  <c r="E189" i="5"/>
  <c r="X189" i="5" s="1"/>
  <c r="F190" i="5"/>
  <c r="R190" i="5"/>
  <c r="J190" i="5"/>
  <c r="AB191" i="5"/>
  <c r="J193" i="5"/>
  <c r="I193" i="5"/>
  <c r="H193" i="5"/>
  <c r="AB200" i="5"/>
  <c r="F218" i="5"/>
  <c r="E218" i="5"/>
  <c r="R218" i="5"/>
  <c r="J218" i="5"/>
  <c r="I218" i="5"/>
  <c r="AB220" i="5"/>
  <c r="G234" i="5"/>
  <c r="H238" i="5"/>
  <c r="F238" i="5"/>
  <c r="E238" i="5"/>
  <c r="X238" i="5" s="1"/>
  <c r="R238" i="5"/>
  <c r="J238" i="5"/>
  <c r="I238" i="5"/>
  <c r="AB244" i="5"/>
  <c r="G254" i="5"/>
  <c r="AB260" i="5"/>
  <c r="G270" i="5"/>
  <c r="AB276" i="5"/>
  <c r="G286" i="5"/>
  <c r="AB292" i="5"/>
  <c r="G311" i="5"/>
  <c r="AB5" i="5"/>
  <c r="I6" i="5"/>
  <c r="F18" i="5"/>
  <c r="J18" i="5"/>
  <c r="G20" i="5"/>
  <c r="AB21" i="5"/>
  <c r="F26" i="5"/>
  <c r="J26" i="5"/>
  <c r="G28" i="5"/>
  <c r="AB29" i="5"/>
  <c r="G33" i="5"/>
  <c r="AB35" i="5"/>
  <c r="G37" i="5"/>
  <c r="AB39" i="5"/>
  <c r="G41" i="5"/>
  <c r="AB43" i="5"/>
  <c r="G45" i="5"/>
  <c r="AB47" i="5"/>
  <c r="G49" i="5"/>
  <c r="AB51" i="5"/>
  <c r="G53" i="5"/>
  <c r="AB55" i="5"/>
  <c r="G57" i="5"/>
  <c r="AB59" i="5"/>
  <c r="G61" i="5"/>
  <c r="AB63" i="5"/>
  <c r="G65" i="5"/>
  <c r="AB67" i="5"/>
  <c r="G69" i="5"/>
  <c r="AB71" i="5"/>
  <c r="G73" i="5"/>
  <c r="AB75" i="5"/>
  <c r="G77" i="5"/>
  <c r="AB79" i="5"/>
  <c r="G81" i="5"/>
  <c r="AB83" i="5"/>
  <c r="G85" i="5"/>
  <c r="AB87" i="5"/>
  <c r="G89" i="5"/>
  <c r="AB91" i="5"/>
  <c r="G93" i="5"/>
  <c r="AB95" i="5"/>
  <c r="G97" i="5"/>
  <c r="AB99" i="5"/>
  <c r="V104" i="5"/>
  <c r="G104" i="5" s="1"/>
  <c r="F106" i="5"/>
  <c r="R106" i="5"/>
  <c r="J106" i="5"/>
  <c r="AB107" i="5"/>
  <c r="J109" i="5"/>
  <c r="I109" i="5"/>
  <c r="H109" i="5"/>
  <c r="G114" i="5"/>
  <c r="AB116" i="5"/>
  <c r="F125" i="5"/>
  <c r="AB129" i="5"/>
  <c r="V136" i="5"/>
  <c r="F138" i="5"/>
  <c r="R138" i="5"/>
  <c r="J138" i="5"/>
  <c r="AB139" i="5"/>
  <c r="J141" i="5"/>
  <c r="I141" i="5"/>
  <c r="H141" i="5"/>
  <c r="G146" i="5"/>
  <c r="AB148" i="5"/>
  <c r="F157" i="5"/>
  <c r="AB161" i="5"/>
  <c r="V168" i="5"/>
  <c r="F170" i="5"/>
  <c r="R170" i="5"/>
  <c r="J170" i="5"/>
  <c r="AB171" i="5"/>
  <c r="J173" i="5"/>
  <c r="I173" i="5"/>
  <c r="H173" i="5"/>
  <c r="G178" i="5"/>
  <c r="AB180" i="5"/>
  <c r="AB193" i="5"/>
  <c r="V200" i="5"/>
  <c r="G200" i="5" s="1"/>
  <c r="F202" i="5"/>
  <c r="R202" i="5"/>
  <c r="J202" i="5"/>
  <c r="AB203" i="5"/>
  <c r="J205" i="5"/>
  <c r="I205" i="5"/>
  <c r="H205" i="5"/>
  <c r="AB209" i="5"/>
  <c r="F210" i="5"/>
  <c r="R210" i="5"/>
  <c r="J210" i="5"/>
  <c r="I210" i="5"/>
  <c r="V220" i="5"/>
  <c r="G220" i="5" s="1"/>
  <c r="R221" i="5"/>
  <c r="J221" i="5"/>
  <c r="I221" i="5"/>
  <c r="H221" i="5"/>
  <c r="G221" i="5"/>
  <c r="H242" i="5"/>
  <c r="F242" i="5"/>
  <c r="E242" i="5"/>
  <c r="R242" i="5"/>
  <c r="J242" i="5"/>
  <c r="I242" i="5"/>
  <c r="H258" i="5"/>
  <c r="F258" i="5"/>
  <c r="E258" i="5"/>
  <c r="X258" i="5" s="1"/>
  <c r="R258" i="5"/>
  <c r="J258" i="5"/>
  <c r="I258" i="5"/>
  <c r="H274" i="5"/>
  <c r="F274" i="5"/>
  <c r="E274" i="5"/>
  <c r="X274" i="5" s="1"/>
  <c r="R274" i="5"/>
  <c r="J274" i="5"/>
  <c r="I274" i="5"/>
  <c r="F290" i="5"/>
  <c r="E290" i="5"/>
  <c r="X290" i="5" s="1"/>
  <c r="R323" i="5"/>
  <c r="H323" i="5"/>
  <c r="J323" i="5"/>
  <c r="I323" i="5"/>
  <c r="F323" i="5"/>
  <c r="E323" i="5"/>
  <c r="X323" i="5" s="1"/>
  <c r="T360" i="5"/>
  <c r="S360" i="5"/>
  <c r="AB360" i="5"/>
  <c r="E371" i="5"/>
  <c r="X371" i="5" s="1"/>
  <c r="R371" i="5"/>
  <c r="J371" i="5"/>
  <c r="H371" i="5"/>
  <c r="I371" i="5"/>
  <c r="F371" i="5"/>
  <c r="E383" i="5"/>
  <c r="X383" i="5" s="1"/>
  <c r="R383" i="5"/>
  <c r="J383" i="5"/>
  <c r="H383" i="5"/>
  <c r="I383" i="5"/>
  <c r="G383" i="5"/>
  <c r="F383" i="5"/>
  <c r="V116" i="5"/>
  <c r="G116" i="5" s="1"/>
  <c r="AB119" i="5"/>
  <c r="V148" i="5"/>
  <c r="G148" i="5" s="1"/>
  <c r="E149" i="5"/>
  <c r="X149" i="5" s="1"/>
  <c r="AB151" i="5"/>
  <c r="J153" i="5"/>
  <c r="I153" i="5"/>
  <c r="H153" i="5"/>
  <c r="AB173" i="5"/>
  <c r="H178" i="5"/>
  <c r="V180" i="5"/>
  <c r="G180" i="5" s="1"/>
  <c r="E181" i="5"/>
  <c r="X181" i="5" s="1"/>
  <c r="F182" i="5"/>
  <c r="R182" i="5"/>
  <c r="J182" i="5"/>
  <c r="AB183" i="5"/>
  <c r="J185" i="5"/>
  <c r="I185" i="5"/>
  <c r="H185" i="5"/>
  <c r="AB205" i="5"/>
  <c r="AB212" i="5"/>
  <c r="AB248" i="5"/>
  <c r="AB264" i="5"/>
  <c r="AB280" i="5"/>
  <c r="AB296" i="5"/>
  <c r="R319" i="5"/>
  <c r="H319" i="5"/>
  <c r="I319" i="5"/>
  <c r="F319" i="5"/>
  <c r="E319" i="5"/>
  <c r="X319" i="5" s="1"/>
  <c r="J319" i="5"/>
  <c r="AB328" i="5"/>
  <c r="V328" i="5"/>
  <c r="G328" i="5" s="1"/>
  <c r="E351" i="5"/>
  <c r="X351" i="5" s="1"/>
  <c r="R351" i="5"/>
  <c r="J351" i="5"/>
  <c r="H351" i="5"/>
  <c r="I351" i="5"/>
  <c r="F351" i="5"/>
  <c r="AB358" i="5"/>
  <c r="V358" i="5"/>
  <c r="G358" i="5" s="1"/>
  <c r="J28" i="5"/>
  <c r="F28" i="5"/>
  <c r="H20" i="5"/>
  <c r="H114" i="5"/>
  <c r="F118" i="5"/>
  <c r="R118" i="5"/>
  <c r="J118" i="5"/>
  <c r="E5" i="5"/>
  <c r="X5" i="5" s="1"/>
  <c r="G18" i="5"/>
  <c r="I20" i="5"/>
  <c r="J24" i="5"/>
  <c r="F24" i="5"/>
  <c r="G26" i="5"/>
  <c r="I28" i="5"/>
  <c r="J32" i="5"/>
  <c r="F32" i="5"/>
  <c r="J101" i="5"/>
  <c r="I101" i="5"/>
  <c r="H101" i="5"/>
  <c r="G106" i="5"/>
  <c r="I114" i="5"/>
  <c r="F117" i="5"/>
  <c r="E118" i="5"/>
  <c r="AB121" i="5"/>
  <c r="V128" i="5"/>
  <c r="G128" i="5" s="1"/>
  <c r="F130" i="5"/>
  <c r="R130" i="5"/>
  <c r="J130" i="5"/>
  <c r="AB131" i="5"/>
  <c r="J133" i="5"/>
  <c r="I133" i="5"/>
  <c r="H133" i="5"/>
  <c r="G138" i="5"/>
  <c r="I146" i="5"/>
  <c r="F149" i="5"/>
  <c r="AB153" i="5"/>
  <c r="V160" i="5"/>
  <c r="G160" i="5" s="1"/>
  <c r="F162" i="5"/>
  <c r="R162" i="5"/>
  <c r="J162" i="5"/>
  <c r="AB163" i="5"/>
  <c r="J165" i="5"/>
  <c r="T165" i="5" s="1"/>
  <c r="I165" i="5"/>
  <c r="H165" i="5"/>
  <c r="G170" i="5"/>
  <c r="I178" i="5"/>
  <c r="F181" i="5"/>
  <c r="E182" i="5"/>
  <c r="AB185" i="5"/>
  <c r="V192" i="5"/>
  <c r="G192" i="5" s="1"/>
  <c r="AB195" i="5"/>
  <c r="J197" i="5"/>
  <c r="I197" i="5"/>
  <c r="H197" i="5"/>
  <c r="G202" i="5"/>
  <c r="F206" i="5"/>
  <c r="R206" i="5"/>
  <c r="J206" i="5"/>
  <c r="I206" i="5"/>
  <c r="E209" i="5"/>
  <c r="X209" i="5" s="1"/>
  <c r="G210" i="5"/>
  <c r="V212" i="5"/>
  <c r="R213" i="5"/>
  <c r="J213" i="5"/>
  <c r="I213" i="5"/>
  <c r="H213" i="5"/>
  <c r="G213" i="5"/>
  <c r="F222" i="5"/>
  <c r="E222" i="5"/>
  <c r="R222" i="5"/>
  <c r="J222" i="5"/>
  <c r="I222" i="5"/>
  <c r="AB224" i="5"/>
  <c r="H246" i="5"/>
  <c r="R246" i="5"/>
  <c r="J246" i="5"/>
  <c r="T246" i="5" s="1"/>
  <c r="I246" i="5"/>
  <c r="H262" i="5"/>
  <c r="F262" i="5"/>
  <c r="E262" i="5"/>
  <c r="R262" i="5"/>
  <c r="J262" i="5"/>
  <c r="I262" i="5"/>
  <c r="H278" i="5"/>
  <c r="F278" i="5"/>
  <c r="E278" i="5"/>
  <c r="R278" i="5"/>
  <c r="J278" i="5"/>
  <c r="I278" i="5"/>
  <c r="H294" i="5"/>
  <c r="F294" i="5"/>
  <c r="E294" i="5"/>
  <c r="X294" i="5" s="1"/>
  <c r="R294" i="5"/>
  <c r="J294" i="5"/>
  <c r="I294" i="5"/>
  <c r="R307" i="5"/>
  <c r="H307" i="5"/>
  <c r="J307" i="5"/>
  <c r="I307" i="5"/>
  <c r="F307" i="5"/>
  <c r="E307" i="5"/>
  <c r="G319" i="5"/>
  <c r="AB408" i="5"/>
  <c r="T408" i="5"/>
  <c r="S408" i="5"/>
  <c r="H28" i="5"/>
  <c r="AB109" i="5"/>
  <c r="E117" i="5"/>
  <c r="J121" i="5"/>
  <c r="I121" i="5"/>
  <c r="H121" i="5"/>
  <c r="AB141" i="5"/>
  <c r="H146" i="5"/>
  <c r="F150" i="5"/>
  <c r="R150" i="5"/>
  <c r="J150" i="5"/>
  <c r="AB19" i="5"/>
  <c r="E21" i="5"/>
  <c r="AB27" i="5"/>
  <c r="E29" i="5"/>
  <c r="F5" i="5"/>
  <c r="H18" i="5"/>
  <c r="F21" i="5"/>
  <c r="E24" i="5"/>
  <c r="X24" i="5" s="1"/>
  <c r="H26" i="5"/>
  <c r="R28" i="5"/>
  <c r="F29" i="5"/>
  <c r="E32" i="5"/>
  <c r="X32" i="5" s="1"/>
  <c r="AB36" i="5"/>
  <c r="AB40" i="5"/>
  <c r="AB44" i="5"/>
  <c r="AB48" i="5"/>
  <c r="AB52" i="5"/>
  <c r="AB56" i="5"/>
  <c r="AB60" i="5"/>
  <c r="AB64" i="5"/>
  <c r="AB68" i="5"/>
  <c r="AB72" i="5"/>
  <c r="AB76" i="5"/>
  <c r="AB80" i="5"/>
  <c r="AB84" i="5"/>
  <c r="AB88" i="5"/>
  <c r="AB92" i="5"/>
  <c r="AB96" i="5"/>
  <c r="AB100" i="5"/>
  <c r="AB101" i="5"/>
  <c r="H106" i="5"/>
  <c r="V108" i="5"/>
  <c r="G108" i="5" s="1"/>
  <c r="E109" i="5"/>
  <c r="F110" i="5"/>
  <c r="R110" i="5"/>
  <c r="J110" i="5"/>
  <c r="AB111" i="5"/>
  <c r="J113" i="5"/>
  <c r="I113" i="5"/>
  <c r="H113" i="5"/>
  <c r="G117" i="5"/>
  <c r="G118" i="5"/>
  <c r="AB120" i="5"/>
  <c r="E130" i="5"/>
  <c r="AB133" i="5"/>
  <c r="H138" i="5"/>
  <c r="V140" i="5"/>
  <c r="G140" i="5" s="1"/>
  <c r="E141" i="5"/>
  <c r="X141" i="5" s="1"/>
  <c r="F142" i="5"/>
  <c r="R142" i="5"/>
  <c r="J142" i="5"/>
  <c r="AB143" i="5"/>
  <c r="J145" i="5"/>
  <c r="I145" i="5"/>
  <c r="H145" i="5"/>
  <c r="G149" i="5"/>
  <c r="G150" i="5"/>
  <c r="AB152" i="5"/>
  <c r="E162" i="5"/>
  <c r="AB165" i="5"/>
  <c r="H170" i="5"/>
  <c r="V172" i="5"/>
  <c r="G172" i="5" s="1"/>
  <c r="E173" i="5"/>
  <c r="X173" i="5" s="1"/>
  <c r="F174" i="5"/>
  <c r="R174" i="5"/>
  <c r="J174" i="5"/>
  <c r="AB175" i="5"/>
  <c r="J177" i="5"/>
  <c r="I177" i="5"/>
  <c r="H177" i="5"/>
  <c r="G181" i="5"/>
  <c r="G182" i="5"/>
  <c r="AB184" i="5"/>
  <c r="AB197" i="5"/>
  <c r="H202" i="5"/>
  <c r="V204" i="5"/>
  <c r="G204" i="5" s="1"/>
  <c r="E205" i="5"/>
  <c r="E206" i="5"/>
  <c r="AB208" i="5"/>
  <c r="F209" i="5"/>
  <c r="H210" i="5"/>
  <c r="G222" i="5"/>
  <c r="AB228" i="5"/>
  <c r="AB252" i="5"/>
  <c r="G262" i="5"/>
  <c r="AB268" i="5"/>
  <c r="G278" i="5"/>
  <c r="AB284" i="5"/>
  <c r="G294" i="5"/>
  <c r="AB300" i="5"/>
  <c r="AB303" i="5"/>
  <c r="AB312" i="5"/>
  <c r="V312" i="5"/>
  <c r="G312" i="5" s="1"/>
  <c r="R331" i="5"/>
  <c r="H331" i="5"/>
  <c r="J331" i="5"/>
  <c r="I331" i="5"/>
  <c r="F331" i="5"/>
  <c r="E331" i="5"/>
  <c r="X331" i="5" s="1"/>
  <c r="E384" i="5"/>
  <c r="X384" i="5" s="1"/>
  <c r="J384" i="5"/>
  <c r="R384" i="5"/>
  <c r="I384" i="5"/>
  <c r="H384" i="5"/>
  <c r="F384" i="5"/>
  <c r="AB402" i="5"/>
  <c r="V402" i="5"/>
  <c r="G402" i="5" s="1"/>
  <c r="J20" i="5"/>
  <c r="F20" i="5"/>
  <c r="AB31" i="5"/>
  <c r="G5" i="5"/>
  <c r="F22" i="5"/>
  <c r="J22" i="5"/>
  <c r="AB25" i="5"/>
  <c r="G29" i="5"/>
  <c r="J33" i="5"/>
  <c r="H33" i="5"/>
  <c r="AB37" i="5"/>
  <c r="J40" i="5"/>
  <c r="H40" i="5"/>
  <c r="F40" i="5"/>
  <c r="J41" i="5"/>
  <c r="H41" i="5"/>
  <c r="AB45" i="5"/>
  <c r="J48" i="5"/>
  <c r="H48" i="5"/>
  <c r="F48" i="5"/>
  <c r="J49" i="5"/>
  <c r="H49" i="5"/>
  <c r="AB53" i="5"/>
  <c r="J53" i="5"/>
  <c r="H53" i="5"/>
  <c r="AB57" i="5"/>
  <c r="J57" i="5"/>
  <c r="H57" i="5"/>
  <c r="AB61" i="5"/>
  <c r="AB65" i="5"/>
  <c r="AB69" i="5"/>
  <c r="AB73" i="5"/>
  <c r="J76" i="5"/>
  <c r="H76" i="5"/>
  <c r="F76" i="5"/>
  <c r="J77" i="5"/>
  <c r="H77" i="5"/>
  <c r="AB81" i="5"/>
  <c r="J84" i="5"/>
  <c r="H84" i="5"/>
  <c r="F84" i="5"/>
  <c r="J85" i="5"/>
  <c r="H85" i="5"/>
  <c r="AB89" i="5"/>
  <c r="J92" i="5"/>
  <c r="H92" i="5"/>
  <c r="F92" i="5"/>
  <c r="J93" i="5"/>
  <c r="H93" i="5"/>
  <c r="J96" i="5"/>
  <c r="H96" i="5"/>
  <c r="F96" i="5"/>
  <c r="J97" i="5"/>
  <c r="H97" i="5"/>
  <c r="V100" i="5"/>
  <c r="AB113" i="5"/>
  <c r="R117" i="5"/>
  <c r="V120" i="5"/>
  <c r="G120" i="5" s="1"/>
  <c r="E121" i="5"/>
  <c r="AB123" i="5"/>
  <c r="AB145" i="5"/>
  <c r="R149" i="5"/>
  <c r="H150" i="5"/>
  <c r="V152" i="5"/>
  <c r="E153" i="5"/>
  <c r="F154" i="5"/>
  <c r="R154" i="5"/>
  <c r="J154" i="5"/>
  <c r="AB155" i="5"/>
  <c r="J157" i="5"/>
  <c r="I157" i="5"/>
  <c r="H157" i="5"/>
  <c r="AB177" i="5"/>
  <c r="R181" i="5"/>
  <c r="H182" i="5"/>
  <c r="V184" i="5"/>
  <c r="G184" i="5" s="1"/>
  <c r="E185" i="5"/>
  <c r="X185" i="5" s="1"/>
  <c r="F186" i="5"/>
  <c r="R186" i="5"/>
  <c r="J186" i="5"/>
  <c r="AB187" i="5"/>
  <c r="J189" i="5"/>
  <c r="V208" i="5"/>
  <c r="R209" i="5"/>
  <c r="F214" i="5"/>
  <c r="E214" i="5"/>
  <c r="R214" i="5"/>
  <c r="J214" i="5"/>
  <c r="I214" i="5"/>
  <c r="AB216" i="5"/>
  <c r="H226" i="5"/>
  <c r="F226" i="5"/>
  <c r="E226" i="5"/>
  <c r="X226" i="5" s="1"/>
  <c r="R226" i="5"/>
  <c r="J226" i="5"/>
  <c r="I226" i="5"/>
  <c r="AB232" i="5"/>
  <c r="H250" i="5"/>
  <c r="F250" i="5"/>
  <c r="E250" i="5"/>
  <c r="R250" i="5"/>
  <c r="J250" i="5"/>
  <c r="I250" i="5"/>
  <c r="H266" i="5"/>
  <c r="F266" i="5"/>
  <c r="E266" i="5"/>
  <c r="R266" i="5"/>
  <c r="J266" i="5"/>
  <c r="I266" i="5"/>
  <c r="H282" i="5"/>
  <c r="F282" i="5"/>
  <c r="E282" i="5"/>
  <c r="R282" i="5"/>
  <c r="J282" i="5"/>
  <c r="I282" i="5"/>
  <c r="H298" i="5"/>
  <c r="F298" i="5"/>
  <c r="E298" i="5"/>
  <c r="R298" i="5"/>
  <c r="J298" i="5"/>
  <c r="I298" i="5"/>
  <c r="R327" i="5"/>
  <c r="H327" i="5"/>
  <c r="I327" i="5"/>
  <c r="F327" i="5"/>
  <c r="E327" i="5"/>
  <c r="X327" i="5" s="1"/>
  <c r="J327" i="5"/>
  <c r="V339" i="5"/>
  <c r="G339" i="5" s="1"/>
  <c r="E352" i="5"/>
  <c r="X352" i="5" s="1"/>
  <c r="J352" i="5"/>
  <c r="R352" i="5"/>
  <c r="I352" i="5"/>
  <c r="H352" i="5"/>
  <c r="F352" i="5"/>
  <c r="S361" i="5"/>
  <c r="AB361" i="5"/>
  <c r="T361" i="5"/>
  <c r="I470" i="5"/>
  <c r="H470" i="5"/>
  <c r="F470" i="5"/>
  <c r="E470" i="5"/>
  <c r="X470" i="5" s="1"/>
  <c r="R470" i="5"/>
  <c r="J470" i="5"/>
  <c r="I494" i="5"/>
  <c r="H494" i="5"/>
  <c r="E494" i="5"/>
  <c r="X494" i="5" s="1"/>
  <c r="R494" i="5"/>
  <c r="J494" i="5"/>
  <c r="G494" i="5"/>
  <c r="F494" i="5"/>
  <c r="F6" i="5"/>
  <c r="J6" i="5"/>
  <c r="G21" i="5"/>
  <c r="F30" i="5"/>
  <c r="J30" i="5"/>
  <c r="AB33" i="5"/>
  <c r="J36" i="5"/>
  <c r="H36" i="5"/>
  <c r="F36" i="5"/>
  <c r="J37" i="5"/>
  <c r="H37" i="5"/>
  <c r="AB41" i="5"/>
  <c r="J44" i="5"/>
  <c r="H44" i="5"/>
  <c r="F44" i="5"/>
  <c r="J45" i="5"/>
  <c r="H45" i="5"/>
  <c r="AB49" i="5"/>
  <c r="J52" i="5"/>
  <c r="H52" i="5"/>
  <c r="F52" i="5"/>
  <c r="J56" i="5"/>
  <c r="H56" i="5"/>
  <c r="F56" i="5"/>
  <c r="J60" i="5"/>
  <c r="H60" i="5"/>
  <c r="F60" i="5"/>
  <c r="J61" i="5"/>
  <c r="H61" i="5"/>
  <c r="J64" i="5"/>
  <c r="H64" i="5"/>
  <c r="F64" i="5"/>
  <c r="J65" i="5"/>
  <c r="H65" i="5"/>
  <c r="J68" i="5"/>
  <c r="H68" i="5"/>
  <c r="F68" i="5"/>
  <c r="J69" i="5"/>
  <c r="H69" i="5"/>
  <c r="J72" i="5"/>
  <c r="H72" i="5"/>
  <c r="F72" i="5"/>
  <c r="J73" i="5"/>
  <c r="H73" i="5"/>
  <c r="AB77" i="5"/>
  <c r="J80" i="5"/>
  <c r="H80" i="5"/>
  <c r="F80" i="5"/>
  <c r="J81" i="5"/>
  <c r="H81" i="5"/>
  <c r="AB85" i="5"/>
  <c r="J88" i="5"/>
  <c r="H88" i="5"/>
  <c r="F88" i="5"/>
  <c r="J89" i="5"/>
  <c r="H89" i="5"/>
  <c r="AB93" i="5"/>
  <c r="AB97" i="5"/>
  <c r="H118" i="5"/>
  <c r="F122" i="5"/>
  <c r="R122" i="5"/>
  <c r="J122" i="5"/>
  <c r="J125" i="5"/>
  <c r="I125" i="5"/>
  <c r="H125" i="5"/>
  <c r="I5" i="5"/>
  <c r="E6" i="5"/>
  <c r="R18" i="5"/>
  <c r="F19" i="5"/>
  <c r="I21" i="5"/>
  <c r="E22" i="5"/>
  <c r="R23" i="5"/>
  <c r="H24" i="5"/>
  <c r="R26" i="5"/>
  <c r="F27" i="5"/>
  <c r="I29" i="5"/>
  <c r="E30" i="5"/>
  <c r="R31" i="5"/>
  <c r="H32" i="5"/>
  <c r="E36" i="5"/>
  <c r="E40" i="5"/>
  <c r="E44" i="5"/>
  <c r="E48" i="5"/>
  <c r="E52" i="5"/>
  <c r="E56" i="5"/>
  <c r="E60" i="5"/>
  <c r="E64" i="5"/>
  <c r="E68" i="5"/>
  <c r="E72" i="5"/>
  <c r="E76" i="5"/>
  <c r="E80" i="5"/>
  <c r="E84" i="5"/>
  <c r="E88" i="5"/>
  <c r="E92" i="5"/>
  <c r="E96" i="5"/>
  <c r="E101" i="5"/>
  <c r="X101" i="5" s="1"/>
  <c r="R102" i="5"/>
  <c r="J102" i="5"/>
  <c r="AB103" i="5"/>
  <c r="J105" i="5"/>
  <c r="I105" i="5"/>
  <c r="H105" i="5"/>
  <c r="G109" i="5"/>
  <c r="G110" i="5"/>
  <c r="AB112" i="5"/>
  <c r="I118" i="5"/>
  <c r="F121" i="5"/>
  <c r="E122" i="5"/>
  <c r="AB125" i="5"/>
  <c r="R129" i="5"/>
  <c r="H130" i="5"/>
  <c r="V132" i="5"/>
  <c r="G132" i="5" s="1"/>
  <c r="E133" i="5"/>
  <c r="X133" i="5" s="1"/>
  <c r="F134" i="5"/>
  <c r="R134" i="5"/>
  <c r="J134" i="5"/>
  <c r="AB135" i="5"/>
  <c r="J137" i="5"/>
  <c r="I137" i="5"/>
  <c r="H137" i="5"/>
  <c r="G141" i="5"/>
  <c r="G142" i="5"/>
  <c r="AB144" i="5"/>
  <c r="I150" i="5"/>
  <c r="F153" i="5"/>
  <c r="E154" i="5"/>
  <c r="AB157" i="5"/>
  <c r="R161" i="5"/>
  <c r="H162" i="5"/>
  <c r="V164" i="5"/>
  <c r="X165" i="5"/>
  <c r="F166" i="5"/>
  <c r="R166" i="5"/>
  <c r="J166" i="5"/>
  <c r="AB167" i="5"/>
  <c r="J169" i="5"/>
  <c r="I169" i="5"/>
  <c r="H169" i="5"/>
  <c r="G173" i="5"/>
  <c r="G174" i="5"/>
  <c r="AB176" i="5"/>
  <c r="I182" i="5"/>
  <c r="F185" i="5"/>
  <c r="E186" i="5"/>
  <c r="AB189" i="5"/>
  <c r="R193" i="5"/>
  <c r="V196" i="5"/>
  <c r="E197" i="5"/>
  <c r="X197" i="5" s="1"/>
  <c r="F198" i="5"/>
  <c r="R198" i="5"/>
  <c r="J198" i="5"/>
  <c r="AB199" i="5"/>
  <c r="J201" i="5"/>
  <c r="G205" i="5"/>
  <c r="H206" i="5"/>
  <c r="G214" i="5"/>
  <c r="V216" i="5"/>
  <c r="G216" i="5" s="1"/>
  <c r="R217" i="5"/>
  <c r="J217" i="5"/>
  <c r="I217" i="5"/>
  <c r="H217" i="5"/>
  <c r="G217" i="5"/>
  <c r="E221" i="5"/>
  <c r="G226" i="5"/>
  <c r="H230" i="5"/>
  <c r="F230" i="5"/>
  <c r="E230" i="5"/>
  <c r="R230" i="5"/>
  <c r="J230" i="5"/>
  <c r="I230" i="5"/>
  <c r="AB236" i="5"/>
  <c r="G250" i="5"/>
  <c r="AB256" i="5"/>
  <c r="G266" i="5"/>
  <c r="AB272" i="5"/>
  <c r="G282" i="5"/>
  <c r="AB288" i="5"/>
  <c r="G298" i="5"/>
  <c r="R315" i="5"/>
  <c r="H315" i="5"/>
  <c r="J315" i="5"/>
  <c r="I315" i="5"/>
  <c r="F315" i="5"/>
  <c r="E315" i="5"/>
  <c r="X315" i="5" s="1"/>
  <c r="G327" i="5"/>
  <c r="E335" i="5"/>
  <c r="X335" i="5" s="1"/>
  <c r="R335" i="5"/>
  <c r="H335" i="5"/>
  <c r="J335" i="5"/>
  <c r="I335" i="5"/>
  <c r="F335" i="5"/>
  <c r="V359" i="5"/>
  <c r="G359" i="5" s="1"/>
  <c r="G233" i="5"/>
  <c r="I310" i="5"/>
  <c r="F310" i="5"/>
  <c r="T313" i="5"/>
  <c r="I318" i="5"/>
  <c r="F318" i="5"/>
  <c r="T321" i="5"/>
  <c r="I326" i="5"/>
  <c r="F326" i="5"/>
  <c r="T329" i="5"/>
  <c r="E332" i="5"/>
  <c r="X332" i="5" s="1"/>
  <c r="J332" i="5"/>
  <c r="AB336" i="5"/>
  <c r="E343" i="5"/>
  <c r="X343" i="5" s="1"/>
  <c r="R343" i="5"/>
  <c r="J343" i="5"/>
  <c r="H343" i="5"/>
  <c r="E344" i="5"/>
  <c r="X344" i="5" s="1"/>
  <c r="J344" i="5"/>
  <c r="AB350" i="5"/>
  <c r="V350" i="5"/>
  <c r="G350" i="5" s="1"/>
  <c r="T352" i="5"/>
  <c r="S352" i="5"/>
  <c r="I368" i="5"/>
  <c r="AB373" i="5"/>
  <c r="V375" i="5"/>
  <c r="E376" i="5"/>
  <c r="X376" i="5" s="1"/>
  <c r="J376" i="5"/>
  <c r="H380" i="5"/>
  <c r="AB382" i="5"/>
  <c r="V382" i="5"/>
  <c r="T384" i="5"/>
  <c r="S384" i="5"/>
  <c r="AB385" i="5"/>
  <c r="S385" i="5"/>
  <c r="E391" i="5"/>
  <c r="X391" i="5" s="1"/>
  <c r="R391" i="5"/>
  <c r="J391" i="5"/>
  <c r="H391" i="5"/>
  <c r="R471" i="5"/>
  <c r="J471" i="5"/>
  <c r="I471" i="5"/>
  <c r="H471" i="5"/>
  <c r="G471" i="5"/>
  <c r="F471" i="5"/>
  <c r="E471" i="5"/>
  <c r="X471" i="5" s="1"/>
  <c r="R499" i="5"/>
  <c r="J499" i="5"/>
  <c r="I499" i="5"/>
  <c r="H499" i="5"/>
  <c r="F499" i="5"/>
  <c r="E499" i="5"/>
  <c r="X499" i="5" s="1"/>
  <c r="R531" i="5"/>
  <c r="J531" i="5"/>
  <c r="I531" i="5"/>
  <c r="H531" i="5"/>
  <c r="F531" i="5"/>
  <c r="E531" i="5"/>
  <c r="X531" i="5" s="1"/>
  <c r="G225" i="5"/>
  <c r="G229" i="5"/>
  <c r="G237" i="5"/>
  <c r="G241" i="5"/>
  <c r="AB213" i="5"/>
  <c r="AB217" i="5"/>
  <c r="AB221" i="5"/>
  <c r="V224" i="5"/>
  <c r="H225" i="5"/>
  <c r="AB225" i="5"/>
  <c r="V228" i="5"/>
  <c r="G228" i="5" s="1"/>
  <c r="H229" i="5"/>
  <c r="AB229" i="5"/>
  <c r="V232" i="5"/>
  <c r="H233" i="5"/>
  <c r="AB233" i="5"/>
  <c r="V236" i="5"/>
  <c r="G236" i="5" s="1"/>
  <c r="H237" i="5"/>
  <c r="AB237" i="5"/>
  <c r="V240" i="5"/>
  <c r="G240" i="5" s="1"/>
  <c r="H241" i="5"/>
  <c r="AB241" i="5"/>
  <c r="V244" i="5"/>
  <c r="H245" i="5"/>
  <c r="AB245" i="5"/>
  <c r="V248" i="5"/>
  <c r="G248" i="5" s="1"/>
  <c r="H249" i="5"/>
  <c r="AB249" i="5"/>
  <c r="V252" i="5"/>
  <c r="G252" i="5" s="1"/>
  <c r="H253" i="5"/>
  <c r="AB253" i="5"/>
  <c r="V256" i="5"/>
  <c r="H257" i="5"/>
  <c r="AB257" i="5"/>
  <c r="V260" i="5"/>
  <c r="G260" i="5" s="1"/>
  <c r="H261" i="5"/>
  <c r="AB261" i="5"/>
  <c r="V264" i="5"/>
  <c r="H265" i="5"/>
  <c r="AB265" i="5"/>
  <c r="V268" i="5"/>
  <c r="G268" i="5" s="1"/>
  <c r="H269" i="5"/>
  <c r="AB269" i="5"/>
  <c r="V272" i="5"/>
  <c r="G272" i="5" s="1"/>
  <c r="H273" i="5"/>
  <c r="AB273" i="5"/>
  <c r="V276" i="5"/>
  <c r="G276" i="5" s="1"/>
  <c r="AB277" i="5"/>
  <c r="V280" i="5"/>
  <c r="G280" i="5" s="1"/>
  <c r="AB281" i="5"/>
  <c r="V284" i="5"/>
  <c r="G284" i="5" s="1"/>
  <c r="H285" i="5"/>
  <c r="AB285" i="5"/>
  <c r="V288" i="5"/>
  <c r="H289" i="5"/>
  <c r="AB289" i="5"/>
  <c r="V292" i="5"/>
  <c r="G292" i="5" s="1"/>
  <c r="AB293" i="5"/>
  <c r="V296" i="5"/>
  <c r="H297" i="5"/>
  <c r="AB297" i="5"/>
  <c r="V300" i="5"/>
  <c r="G300" i="5" s="1"/>
  <c r="H301" i="5"/>
  <c r="AB301" i="5"/>
  <c r="R302" i="5"/>
  <c r="R304" i="5"/>
  <c r="V308" i="5"/>
  <c r="I309" i="5"/>
  <c r="E310" i="5"/>
  <c r="AB310" i="5"/>
  <c r="V316" i="5"/>
  <c r="I317" i="5"/>
  <c r="E318" i="5"/>
  <c r="X318" i="5" s="1"/>
  <c r="AB318" i="5"/>
  <c r="V324" i="5"/>
  <c r="I325" i="5"/>
  <c r="E326" i="5"/>
  <c r="X326" i="5" s="1"/>
  <c r="AB326" i="5"/>
  <c r="AB332" i="5"/>
  <c r="T333" i="5"/>
  <c r="G335" i="5"/>
  <c r="G336" i="5"/>
  <c r="I337" i="5"/>
  <c r="G337" i="5"/>
  <c r="AB343" i="5"/>
  <c r="T345" i="5"/>
  <c r="AB353" i="5"/>
  <c r="V355" i="5"/>
  <c r="E356" i="5"/>
  <c r="X356" i="5" s="1"/>
  <c r="J356" i="5"/>
  <c r="H360" i="5"/>
  <c r="AB362" i="5"/>
  <c r="V362" i="5"/>
  <c r="T364" i="5"/>
  <c r="S364" i="5"/>
  <c r="G371" i="5"/>
  <c r="AB375" i="5"/>
  <c r="T377" i="5"/>
  <c r="T388" i="5"/>
  <c r="S388" i="5"/>
  <c r="AB389" i="5"/>
  <c r="S389" i="5"/>
  <c r="E395" i="5"/>
  <c r="X395" i="5" s="1"/>
  <c r="R395" i="5"/>
  <c r="J395" i="5"/>
  <c r="H395" i="5"/>
  <c r="R459" i="5"/>
  <c r="G459" i="5"/>
  <c r="F459" i="5"/>
  <c r="E459" i="5"/>
  <c r="X459" i="5" s="1"/>
  <c r="J459" i="5"/>
  <c r="I459" i="5"/>
  <c r="H459" i="5"/>
  <c r="I225" i="5"/>
  <c r="I229" i="5"/>
  <c r="I233" i="5"/>
  <c r="I237" i="5"/>
  <c r="I241" i="5"/>
  <c r="I245" i="5"/>
  <c r="I249" i="5"/>
  <c r="I253" i="5"/>
  <c r="I257" i="5"/>
  <c r="I261" i="5"/>
  <c r="I265" i="5"/>
  <c r="I269" i="5"/>
  <c r="I273" i="5"/>
  <c r="I285" i="5"/>
  <c r="I289" i="5"/>
  <c r="I297" i="5"/>
  <c r="I301" i="5"/>
  <c r="AB305" i="5"/>
  <c r="G307" i="5"/>
  <c r="G310" i="5"/>
  <c r="AB313" i="5"/>
  <c r="G315" i="5"/>
  <c r="G318" i="5"/>
  <c r="AB321" i="5"/>
  <c r="G323" i="5"/>
  <c r="G326" i="5"/>
  <c r="AB329" i="5"/>
  <c r="G331" i="5"/>
  <c r="G332" i="5"/>
  <c r="I333" i="5"/>
  <c r="G333" i="5"/>
  <c r="F336" i="5"/>
  <c r="AB342" i="5"/>
  <c r="V342" i="5"/>
  <c r="T344" i="5"/>
  <c r="S344" i="5"/>
  <c r="G351" i="5"/>
  <c r="I360" i="5"/>
  <c r="F363" i="5"/>
  <c r="V367" i="5"/>
  <c r="E368" i="5"/>
  <c r="X368" i="5" s="1"/>
  <c r="J368" i="5"/>
  <c r="AB374" i="5"/>
  <c r="V374" i="5"/>
  <c r="T376" i="5"/>
  <c r="S376" i="5"/>
  <c r="AB386" i="5"/>
  <c r="V386" i="5"/>
  <c r="F387" i="5"/>
  <c r="T392" i="5"/>
  <c r="S392" i="5"/>
  <c r="AB393" i="5"/>
  <c r="S393" i="5"/>
  <c r="E399" i="5"/>
  <c r="X399" i="5" s="1"/>
  <c r="R399" i="5"/>
  <c r="J399" i="5"/>
  <c r="H399" i="5"/>
  <c r="E464" i="5"/>
  <c r="X464" i="5" s="1"/>
  <c r="I464" i="5"/>
  <c r="H464" i="5"/>
  <c r="G464" i="5"/>
  <c r="F464" i="5"/>
  <c r="R464" i="5"/>
  <c r="J464" i="5"/>
  <c r="I478" i="5"/>
  <c r="H478" i="5"/>
  <c r="E478" i="5"/>
  <c r="X478" i="5" s="1"/>
  <c r="R478" i="5"/>
  <c r="J478" i="5"/>
  <c r="G478" i="5"/>
  <c r="F478" i="5"/>
  <c r="J225" i="5"/>
  <c r="J229" i="5"/>
  <c r="J233" i="5"/>
  <c r="J237" i="5"/>
  <c r="J241" i="5"/>
  <c r="J245" i="5"/>
  <c r="J249" i="5"/>
  <c r="J253" i="5"/>
  <c r="J257" i="5"/>
  <c r="J261" i="5"/>
  <c r="J265" i="5"/>
  <c r="J269" i="5"/>
  <c r="J273" i="5"/>
  <c r="J285" i="5"/>
  <c r="J289" i="5"/>
  <c r="J297" i="5"/>
  <c r="J301" i="5"/>
  <c r="H310" i="5"/>
  <c r="T314" i="5"/>
  <c r="H318" i="5"/>
  <c r="T322" i="5"/>
  <c r="H326" i="5"/>
  <c r="T330" i="5"/>
  <c r="F332" i="5"/>
  <c r="AB333" i="5"/>
  <c r="H336" i="5"/>
  <c r="F343" i="5"/>
  <c r="AB345" i="5"/>
  <c r="E347" i="5"/>
  <c r="X347" i="5" s="1"/>
  <c r="R347" i="5"/>
  <c r="J347" i="5"/>
  <c r="H347" i="5"/>
  <c r="E348" i="5"/>
  <c r="X348" i="5" s="1"/>
  <c r="J348" i="5"/>
  <c r="AB354" i="5"/>
  <c r="V354" i="5"/>
  <c r="G354" i="5" s="1"/>
  <c r="T356" i="5"/>
  <c r="S356" i="5"/>
  <c r="G363" i="5"/>
  <c r="F364" i="5"/>
  <c r="AB367" i="5"/>
  <c r="T369" i="5"/>
  <c r="AB377" i="5"/>
  <c r="E379" i="5"/>
  <c r="X379" i="5" s="1"/>
  <c r="E380" i="5"/>
  <c r="X380" i="5" s="1"/>
  <c r="J380" i="5"/>
  <c r="G387" i="5"/>
  <c r="AB390" i="5"/>
  <c r="V390" i="5"/>
  <c r="T396" i="5"/>
  <c r="S396" i="5"/>
  <c r="AB397" i="5"/>
  <c r="S397" i="5"/>
  <c r="E403" i="5"/>
  <c r="X403" i="5" s="1"/>
  <c r="R403" i="5"/>
  <c r="J403" i="5"/>
  <c r="H403" i="5"/>
  <c r="R483" i="5"/>
  <c r="J483" i="5"/>
  <c r="I483" i="5"/>
  <c r="H483" i="5"/>
  <c r="F483" i="5"/>
  <c r="E483" i="5"/>
  <c r="X483" i="5" s="1"/>
  <c r="I510" i="5"/>
  <c r="H510" i="5"/>
  <c r="E510" i="5"/>
  <c r="X510" i="5" s="1"/>
  <c r="R510" i="5"/>
  <c r="J510" i="5"/>
  <c r="G510" i="5"/>
  <c r="F510" i="5"/>
  <c r="I542" i="5"/>
  <c r="H542" i="5"/>
  <c r="E542" i="5"/>
  <c r="X542" i="5" s="1"/>
  <c r="R542" i="5"/>
  <c r="J542" i="5"/>
  <c r="G542" i="5"/>
  <c r="F542" i="5"/>
  <c r="J310" i="5"/>
  <c r="I314" i="5"/>
  <c r="F314" i="5"/>
  <c r="T317" i="5"/>
  <c r="J318" i="5"/>
  <c r="I322" i="5"/>
  <c r="F322" i="5"/>
  <c r="T325" i="5"/>
  <c r="J326" i="5"/>
  <c r="H332" i="5"/>
  <c r="I336" i="5"/>
  <c r="R338" i="5"/>
  <c r="I338" i="5"/>
  <c r="F338" i="5"/>
  <c r="AB338" i="5"/>
  <c r="G343" i="5"/>
  <c r="F344" i="5"/>
  <c r="E360" i="5"/>
  <c r="X360" i="5" s="1"/>
  <c r="J360" i="5"/>
  <c r="H364" i="5"/>
  <c r="AB366" i="5"/>
  <c r="V366" i="5"/>
  <c r="T368" i="5"/>
  <c r="S368" i="5"/>
  <c r="AB394" i="5"/>
  <c r="V394" i="5"/>
  <c r="T400" i="5"/>
  <c r="S400" i="5"/>
  <c r="AB401" i="5"/>
  <c r="S401" i="5"/>
  <c r="AB416" i="5"/>
  <c r="T416" i="5"/>
  <c r="S416" i="5"/>
  <c r="R515" i="5"/>
  <c r="J515" i="5"/>
  <c r="I515" i="5"/>
  <c r="H515" i="5"/>
  <c r="F515" i="5"/>
  <c r="E515" i="5"/>
  <c r="X515" i="5" s="1"/>
  <c r="G302" i="5"/>
  <c r="F304" i="5"/>
  <c r="R310" i="5"/>
  <c r="I313" i="5"/>
  <c r="E314" i="5"/>
  <c r="X314" i="5" s="1"/>
  <c r="R318" i="5"/>
  <c r="I321" i="5"/>
  <c r="E322" i="5"/>
  <c r="X322" i="5" s="1"/>
  <c r="R326" i="5"/>
  <c r="I329" i="5"/>
  <c r="I332" i="5"/>
  <c r="F333" i="5"/>
  <c r="AB334" i="5"/>
  <c r="E338" i="5"/>
  <c r="X338" i="5" s="1"/>
  <c r="AB339" i="5"/>
  <c r="V340" i="5"/>
  <c r="G340" i="5" s="1"/>
  <c r="I343" i="5"/>
  <c r="H344" i="5"/>
  <c r="AB346" i="5"/>
  <c r="V346" i="5"/>
  <c r="T348" i="5"/>
  <c r="S348" i="5"/>
  <c r="F356" i="5"/>
  <c r="AB359" i="5"/>
  <c r="AB369" i="5"/>
  <c r="E372" i="5"/>
  <c r="X372" i="5" s="1"/>
  <c r="J372" i="5"/>
  <c r="H376" i="5"/>
  <c r="AB378" i="5"/>
  <c r="V378" i="5"/>
  <c r="T380" i="5"/>
  <c r="S380" i="5"/>
  <c r="AB398" i="5"/>
  <c r="V398" i="5"/>
  <c r="F399" i="5"/>
  <c r="T404" i="5"/>
  <c r="S404" i="5"/>
  <c r="AB405" i="5"/>
  <c r="S405" i="5"/>
  <c r="AB409" i="5"/>
  <c r="S409" i="5"/>
  <c r="E336" i="5"/>
  <c r="X336" i="5" s="1"/>
  <c r="J336" i="5"/>
  <c r="T340" i="5"/>
  <c r="S340" i="5"/>
  <c r="R344" i="5"/>
  <c r="AB351" i="5"/>
  <c r="AB352" i="5"/>
  <c r="T353" i="5"/>
  <c r="E363" i="5"/>
  <c r="X363" i="5" s="1"/>
  <c r="R363" i="5"/>
  <c r="J363" i="5"/>
  <c r="H363" i="5"/>
  <c r="E364" i="5"/>
  <c r="X364" i="5" s="1"/>
  <c r="J364" i="5"/>
  <c r="AB370" i="5"/>
  <c r="V370" i="5"/>
  <c r="G370" i="5" s="1"/>
  <c r="T372" i="5"/>
  <c r="S372" i="5"/>
  <c r="E387" i="5"/>
  <c r="X387" i="5" s="1"/>
  <c r="R387" i="5"/>
  <c r="J387" i="5"/>
  <c r="H387" i="5"/>
  <c r="AB406" i="5"/>
  <c r="V406" i="5"/>
  <c r="G406" i="5" s="1"/>
  <c r="I526" i="5"/>
  <c r="H526" i="5"/>
  <c r="E526" i="5"/>
  <c r="X526" i="5" s="1"/>
  <c r="R526" i="5"/>
  <c r="J526" i="5"/>
  <c r="G526" i="5"/>
  <c r="F526" i="5"/>
  <c r="J388" i="5"/>
  <c r="J392" i="5"/>
  <c r="J396" i="5"/>
  <c r="J400" i="5"/>
  <c r="J404" i="5"/>
  <c r="J408" i="5"/>
  <c r="V410" i="5"/>
  <c r="J412" i="5"/>
  <c r="S413" i="5"/>
  <c r="V414" i="5"/>
  <c r="H415" i="5"/>
  <c r="J416" i="5"/>
  <c r="S417" i="5"/>
  <c r="V418" i="5"/>
  <c r="H419" i="5"/>
  <c r="J420" i="5"/>
  <c r="S421" i="5"/>
  <c r="V422" i="5"/>
  <c r="J424" i="5"/>
  <c r="S425" i="5"/>
  <c r="V426" i="5"/>
  <c r="J428" i="5"/>
  <c r="S429" i="5"/>
  <c r="V430" i="5"/>
  <c r="J432" i="5"/>
  <c r="S433" i="5"/>
  <c r="V434" i="5"/>
  <c r="J436" i="5"/>
  <c r="S437" i="5"/>
  <c r="V438" i="5"/>
  <c r="J440" i="5"/>
  <c r="S441" i="5"/>
  <c r="V442" i="5"/>
  <c r="H443" i="5"/>
  <c r="J444" i="5"/>
  <c r="S445" i="5"/>
  <c r="V446" i="5"/>
  <c r="H447" i="5"/>
  <c r="J448" i="5"/>
  <c r="S449" i="5"/>
  <c r="V450" i="5"/>
  <c r="H451" i="5"/>
  <c r="J452" i="5"/>
  <c r="S453" i="5"/>
  <c r="V454" i="5"/>
  <c r="H455" i="5"/>
  <c r="J456" i="5"/>
  <c r="S457" i="5"/>
  <c r="V458" i="5"/>
  <c r="S460" i="5"/>
  <c r="H461" i="5"/>
  <c r="F463" i="5"/>
  <c r="AB466" i="5"/>
  <c r="T466" i="5"/>
  <c r="G470" i="5"/>
  <c r="AB474" i="5"/>
  <c r="T474" i="5"/>
  <c r="F476" i="5"/>
  <c r="E487" i="5"/>
  <c r="X487" i="5" s="1"/>
  <c r="T488" i="5"/>
  <c r="S488" i="5"/>
  <c r="F492" i="5"/>
  <c r="E503" i="5"/>
  <c r="X503" i="5" s="1"/>
  <c r="T504" i="5"/>
  <c r="S504" i="5"/>
  <c r="F508" i="5"/>
  <c r="E519" i="5"/>
  <c r="X519" i="5" s="1"/>
  <c r="T520" i="5"/>
  <c r="S520" i="5"/>
  <c r="E535" i="5"/>
  <c r="X535" i="5" s="1"/>
  <c r="T536" i="5"/>
  <c r="S536" i="5"/>
  <c r="F540" i="5"/>
  <c r="R547" i="5"/>
  <c r="J547" i="5"/>
  <c r="AB553" i="5"/>
  <c r="V553" i="5"/>
  <c r="E555" i="5"/>
  <c r="X555" i="5" s="1"/>
  <c r="T556" i="5"/>
  <c r="S556" i="5"/>
  <c r="T572" i="5"/>
  <c r="S572" i="5"/>
  <c r="AB572" i="5"/>
  <c r="J578" i="5"/>
  <c r="I578" i="5"/>
  <c r="H578" i="5"/>
  <c r="E578" i="5"/>
  <c r="X578" i="5" s="1"/>
  <c r="AB582" i="5"/>
  <c r="T582" i="5"/>
  <c r="S582" i="5"/>
  <c r="AB585" i="5"/>
  <c r="V585" i="5"/>
  <c r="T596" i="5"/>
  <c r="S596" i="5"/>
  <c r="AB596" i="5"/>
  <c r="AB597" i="5"/>
  <c r="V597" i="5"/>
  <c r="G597" i="5" s="1"/>
  <c r="H706" i="5"/>
  <c r="R706" i="5"/>
  <c r="J706" i="5"/>
  <c r="I706" i="5"/>
  <c r="F706" i="5"/>
  <c r="E706" i="5"/>
  <c r="X706" i="5" s="1"/>
  <c r="V460" i="5"/>
  <c r="V466" i="5"/>
  <c r="G466" i="5" s="1"/>
  <c r="V474" i="5"/>
  <c r="G474" i="5" s="1"/>
  <c r="V477" i="5"/>
  <c r="AB478" i="5"/>
  <c r="T478" i="5"/>
  <c r="G483" i="5"/>
  <c r="AB483" i="5"/>
  <c r="E484" i="5"/>
  <c r="X484" i="5" s="1"/>
  <c r="I484" i="5"/>
  <c r="V493" i="5"/>
  <c r="G493" i="5" s="1"/>
  <c r="AB494" i="5"/>
  <c r="T494" i="5"/>
  <c r="G499" i="5"/>
  <c r="AB499" i="5"/>
  <c r="E500" i="5"/>
  <c r="X500" i="5" s="1"/>
  <c r="I500" i="5"/>
  <c r="V509" i="5"/>
  <c r="G509" i="5" s="1"/>
  <c r="AB510" i="5"/>
  <c r="T510" i="5"/>
  <c r="F514" i="5"/>
  <c r="G515" i="5"/>
  <c r="AB515" i="5"/>
  <c r="E516" i="5"/>
  <c r="X516" i="5" s="1"/>
  <c r="I516" i="5"/>
  <c r="F519" i="5"/>
  <c r="V525" i="5"/>
  <c r="AB526" i="5"/>
  <c r="T526" i="5"/>
  <c r="F530" i="5"/>
  <c r="G531" i="5"/>
  <c r="AB531" i="5"/>
  <c r="E532" i="5"/>
  <c r="X532" i="5" s="1"/>
  <c r="I532" i="5"/>
  <c r="F535" i="5"/>
  <c r="V541" i="5"/>
  <c r="G541" i="5" s="1"/>
  <c r="AB542" i="5"/>
  <c r="T542" i="5"/>
  <c r="F546" i="5"/>
  <c r="J550" i="5"/>
  <c r="I550" i="5"/>
  <c r="H550" i="5"/>
  <c r="E550" i="5"/>
  <c r="X550" i="5" s="1"/>
  <c r="F555" i="5"/>
  <c r="AB558" i="5"/>
  <c r="T558" i="5"/>
  <c r="R559" i="5"/>
  <c r="J559" i="5"/>
  <c r="J566" i="5"/>
  <c r="I566" i="5"/>
  <c r="H566" i="5"/>
  <c r="E566" i="5"/>
  <c r="X566" i="5" s="1"/>
  <c r="AB570" i="5"/>
  <c r="T570" i="5"/>
  <c r="S570" i="5"/>
  <c r="AB573" i="5"/>
  <c r="V573" i="5"/>
  <c r="G573" i="5" s="1"/>
  <c r="J415" i="5"/>
  <c r="J419" i="5"/>
  <c r="S420" i="5"/>
  <c r="S424" i="5"/>
  <c r="S428" i="5"/>
  <c r="S432" i="5"/>
  <c r="S436" i="5"/>
  <c r="S440" i="5"/>
  <c r="J443" i="5"/>
  <c r="S444" i="5"/>
  <c r="J447" i="5"/>
  <c r="S448" i="5"/>
  <c r="J451" i="5"/>
  <c r="S452" i="5"/>
  <c r="J455" i="5"/>
  <c r="S456" i="5"/>
  <c r="J461" i="5"/>
  <c r="V462" i="5"/>
  <c r="G462" i="5" s="1"/>
  <c r="H463" i="5"/>
  <c r="S464" i="5"/>
  <c r="G468" i="5"/>
  <c r="T469" i="5"/>
  <c r="R479" i="5"/>
  <c r="J479" i="5"/>
  <c r="G482" i="5"/>
  <c r="T484" i="5"/>
  <c r="S484" i="5"/>
  <c r="H487" i="5"/>
  <c r="F488" i="5"/>
  <c r="V490" i="5"/>
  <c r="R495" i="5"/>
  <c r="J495" i="5"/>
  <c r="G498" i="5"/>
  <c r="T500" i="5"/>
  <c r="S500" i="5"/>
  <c r="H503" i="5"/>
  <c r="F504" i="5"/>
  <c r="V506" i="5"/>
  <c r="R511" i="5"/>
  <c r="J511" i="5"/>
  <c r="G514" i="5"/>
  <c r="T516" i="5"/>
  <c r="S516" i="5"/>
  <c r="H519" i="5"/>
  <c r="F520" i="5"/>
  <c r="V522" i="5"/>
  <c r="R527" i="5"/>
  <c r="J527" i="5"/>
  <c r="G530" i="5"/>
  <c r="T532" i="5"/>
  <c r="S532" i="5"/>
  <c r="H535" i="5"/>
  <c r="F536" i="5"/>
  <c r="V538" i="5"/>
  <c r="R543" i="5"/>
  <c r="J543" i="5"/>
  <c r="G546" i="5"/>
  <c r="T548" i="5"/>
  <c r="S548" i="5"/>
  <c r="H555" i="5"/>
  <c r="J562" i="5"/>
  <c r="I562" i="5"/>
  <c r="H562" i="5"/>
  <c r="E562" i="5"/>
  <c r="X562" i="5" s="1"/>
  <c r="T580" i="5"/>
  <c r="S580" i="5"/>
  <c r="AB580" i="5"/>
  <c r="J586" i="5"/>
  <c r="I586" i="5"/>
  <c r="H586" i="5"/>
  <c r="E586" i="5"/>
  <c r="X586" i="5" s="1"/>
  <c r="G341" i="5"/>
  <c r="G345" i="5"/>
  <c r="G349" i="5"/>
  <c r="G353" i="5"/>
  <c r="G357" i="5"/>
  <c r="G361" i="5"/>
  <c r="G365" i="5"/>
  <c r="G369" i="5"/>
  <c r="G373" i="5"/>
  <c r="G377" i="5"/>
  <c r="G381" i="5"/>
  <c r="G385" i="5"/>
  <c r="G389" i="5"/>
  <c r="G393" i="5"/>
  <c r="G397" i="5"/>
  <c r="G401" i="5"/>
  <c r="G405" i="5"/>
  <c r="G409" i="5"/>
  <c r="G413" i="5"/>
  <c r="R415" i="5"/>
  <c r="G417" i="5"/>
  <c r="R419" i="5"/>
  <c r="T420" i="5"/>
  <c r="G421" i="5"/>
  <c r="T424" i="5"/>
  <c r="G425" i="5"/>
  <c r="T428" i="5"/>
  <c r="G429" i="5"/>
  <c r="T432" i="5"/>
  <c r="G433" i="5"/>
  <c r="T436" i="5"/>
  <c r="G437" i="5"/>
  <c r="T440" i="5"/>
  <c r="G441" i="5"/>
  <c r="R443" i="5"/>
  <c r="T444" i="5"/>
  <c r="G445" i="5"/>
  <c r="R447" i="5"/>
  <c r="T448" i="5"/>
  <c r="G449" i="5"/>
  <c r="R451" i="5"/>
  <c r="T452" i="5"/>
  <c r="G453" i="5"/>
  <c r="R455" i="5"/>
  <c r="T456" i="5"/>
  <c r="G457" i="5"/>
  <c r="I463" i="5"/>
  <c r="H468" i="5"/>
  <c r="V469" i="5"/>
  <c r="G469" i="5" s="1"/>
  <c r="S470" i="5"/>
  <c r="T472" i="5"/>
  <c r="S472" i="5"/>
  <c r="G479" i="5"/>
  <c r="AB479" i="5"/>
  <c r="E480" i="5"/>
  <c r="X480" i="5" s="1"/>
  <c r="I480" i="5"/>
  <c r="J482" i="5"/>
  <c r="AB484" i="5"/>
  <c r="G488" i="5"/>
  <c r="V489" i="5"/>
  <c r="G489" i="5" s="1"/>
  <c r="AB490" i="5"/>
  <c r="T490" i="5"/>
  <c r="G495" i="5"/>
  <c r="AB495" i="5"/>
  <c r="E496" i="5"/>
  <c r="X496" i="5" s="1"/>
  <c r="I496" i="5"/>
  <c r="J498" i="5"/>
  <c r="AB500" i="5"/>
  <c r="G504" i="5"/>
  <c r="V505" i="5"/>
  <c r="G505" i="5" s="1"/>
  <c r="AB506" i="5"/>
  <c r="T506" i="5"/>
  <c r="G511" i="5"/>
  <c r="AB511" i="5"/>
  <c r="E512" i="5"/>
  <c r="X512" i="5" s="1"/>
  <c r="I512" i="5"/>
  <c r="J514" i="5"/>
  <c r="AB516" i="5"/>
  <c r="G520" i="5"/>
  <c r="V521" i="5"/>
  <c r="G521" i="5" s="1"/>
  <c r="AB522" i="5"/>
  <c r="T522" i="5"/>
  <c r="G527" i="5"/>
  <c r="AB527" i="5"/>
  <c r="E528" i="5"/>
  <c r="X528" i="5" s="1"/>
  <c r="I528" i="5"/>
  <c r="J530" i="5"/>
  <c r="AB532" i="5"/>
  <c r="G536" i="5"/>
  <c r="V537" i="5"/>
  <c r="G537" i="5" s="1"/>
  <c r="AB538" i="5"/>
  <c r="T538" i="5"/>
  <c r="G543" i="5"/>
  <c r="AB543" i="5"/>
  <c r="E544" i="5"/>
  <c r="X544" i="5" s="1"/>
  <c r="I544" i="5"/>
  <c r="J546" i="5"/>
  <c r="F547" i="5"/>
  <c r="AB548" i="5"/>
  <c r="AB550" i="5"/>
  <c r="T550" i="5"/>
  <c r="R551" i="5"/>
  <c r="J551" i="5"/>
  <c r="AB557" i="5"/>
  <c r="V557" i="5"/>
  <c r="G557" i="5" s="1"/>
  <c r="F558" i="5"/>
  <c r="E559" i="5"/>
  <c r="X559" i="5" s="1"/>
  <c r="T560" i="5"/>
  <c r="S560" i="5"/>
  <c r="T568" i="5"/>
  <c r="S568" i="5"/>
  <c r="AB568" i="5"/>
  <c r="F570" i="5"/>
  <c r="J574" i="5"/>
  <c r="I574" i="5"/>
  <c r="H574" i="5"/>
  <c r="E574" i="5"/>
  <c r="X574" i="5" s="1"/>
  <c r="AB578" i="5"/>
  <c r="T578" i="5"/>
  <c r="S578" i="5"/>
  <c r="AB581" i="5"/>
  <c r="V581" i="5"/>
  <c r="G581" i="5" s="1"/>
  <c r="H682" i="5"/>
  <c r="R682" i="5"/>
  <c r="J682" i="5"/>
  <c r="I682" i="5"/>
  <c r="F682" i="5"/>
  <c r="E682" i="5"/>
  <c r="X682" i="5" s="1"/>
  <c r="S461" i="5"/>
  <c r="J463" i="5"/>
  <c r="V467" i="5"/>
  <c r="I468" i="5"/>
  <c r="T470" i="5"/>
  <c r="V475" i="5"/>
  <c r="T480" i="5"/>
  <c r="S480" i="5"/>
  <c r="F484" i="5"/>
  <c r="V486" i="5"/>
  <c r="G486" i="5" s="1"/>
  <c r="H488" i="5"/>
  <c r="R491" i="5"/>
  <c r="J491" i="5"/>
  <c r="T496" i="5"/>
  <c r="S496" i="5"/>
  <c r="F500" i="5"/>
  <c r="V502" i="5"/>
  <c r="H504" i="5"/>
  <c r="R507" i="5"/>
  <c r="J507" i="5"/>
  <c r="T512" i="5"/>
  <c r="S512" i="5"/>
  <c r="F516" i="5"/>
  <c r="V518" i="5"/>
  <c r="H520" i="5"/>
  <c r="R523" i="5"/>
  <c r="J523" i="5"/>
  <c r="T528" i="5"/>
  <c r="S528" i="5"/>
  <c r="F532" i="5"/>
  <c r="V534" i="5"/>
  <c r="G534" i="5" s="1"/>
  <c r="H536" i="5"/>
  <c r="R539" i="5"/>
  <c r="J539" i="5"/>
  <c r="T544" i="5"/>
  <c r="S544" i="5"/>
  <c r="V554" i="5"/>
  <c r="G554" i="5" s="1"/>
  <c r="G558" i="5"/>
  <c r="F559" i="5"/>
  <c r="AB562" i="5"/>
  <c r="T562" i="5"/>
  <c r="R563" i="5"/>
  <c r="J563" i="5"/>
  <c r="AB566" i="5"/>
  <c r="T566" i="5"/>
  <c r="S566" i="5"/>
  <c r="AB569" i="5"/>
  <c r="V569" i="5"/>
  <c r="G569" i="5" s="1"/>
  <c r="G570" i="5"/>
  <c r="T588" i="5"/>
  <c r="S588"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S465" i="5"/>
  <c r="J468" i="5"/>
  <c r="S473" i="5"/>
  <c r="AB475" i="5"/>
  <c r="E476" i="5"/>
  <c r="X476" i="5" s="1"/>
  <c r="I476" i="5"/>
  <c r="F479" i="5"/>
  <c r="AB480" i="5"/>
  <c r="G484" i="5"/>
  <c r="V485" i="5"/>
  <c r="AB486" i="5"/>
  <c r="T486" i="5"/>
  <c r="G491" i="5"/>
  <c r="AB491" i="5"/>
  <c r="E492" i="5"/>
  <c r="X492" i="5" s="1"/>
  <c r="I492" i="5"/>
  <c r="F495" i="5"/>
  <c r="AB496" i="5"/>
  <c r="G500" i="5"/>
  <c r="V501" i="5"/>
  <c r="G501" i="5" s="1"/>
  <c r="AB502" i="5"/>
  <c r="T502" i="5"/>
  <c r="G507" i="5"/>
  <c r="AB507" i="5"/>
  <c r="E508" i="5"/>
  <c r="X508" i="5" s="1"/>
  <c r="I508" i="5"/>
  <c r="F511" i="5"/>
  <c r="AB512" i="5"/>
  <c r="G516" i="5"/>
  <c r="V517" i="5"/>
  <c r="AB518" i="5"/>
  <c r="T518" i="5"/>
  <c r="G523" i="5"/>
  <c r="AB523" i="5"/>
  <c r="E524" i="5"/>
  <c r="X524" i="5" s="1"/>
  <c r="F527" i="5"/>
  <c r="AB528" i="5"/>
  <c r="G532" i="5"/>
  <c r="V533" i="5"/>
  <c r="G533" i="5" s="1"/>
  <c r="AB534" i="5"/>
  <c r="T534" i="5"/>
  <c r="G539" i="5"/>
  <c r="AB539" i="5"/>
  <c r="E540" i="5"/>
  <c r="X540" i="5" s="1"/>
  <c r="I540" i="5"/>
  <c r="F543" i="5"/>
  <c r="AB544" i="5"/>
  <c r="AB549" i="5"/>
  <c r="V549" i="5"/>
  <c r="G549" i="5" s="1"/>
  <c r="F550" i="5"/>
  <c r="T552" i="5"/>
  <c r="S552" i="5"/>
  <c r="H559" i="5"/>
  <c r="T576" i="5"/>
  <c r="S576" i="5"/>
  <c r="AB576" i="5"/>
  <c r="J582" i="5"/>
  <c r="I582" i="5"/>
  <c r="H582" i="5"/>
  <c r="E582" i="5"/>
  <c r="X582" i="5" s="1"/>
  <c r="AB586" i="5"/>
  <c r="T586" i="5"/>
  <c r="S586" i="5"/>
  <c r="AB589" i="5"/>
  <c r="V589" i="5"/>
  <c r="H690" i="5"/>
  <c r="R690" i="5"/>
  <c r="J690" i="5"/>
  <c r="I690" i="5"/>
  <c r="F690" i="5"/>
  <c r="E690" i="5"/>
  <c r="X690" i="5" s="1"/>
  <c r="R468" i="5"/>
  <c r="T473" i="5"/>
  <c r="T476" i="5"/>
  <c r="S476" i="5"/>
  <c r="I482" i="5"/>
  <c r="H482" i="5"/>
  <c r="E482" i="5"/>
  <c r="X482" i="5" s="1"/>
  <c r="H484" i="5"/>
  <c r="R487" i="5"/>
  <c r="J487" i="5"/>
  <c r="T492" i="5"/>
  <c r="S492" i="5"/>
  <c r="I498" i="5"/>
  <c r="H498" i="5"/>
  <c r="E498" i="5"/>
  <c r="X498" i="5" s="1"/>
  <c r="H500" i="5"/>
  <c r="R503" i="5"/>
  <c r="J503" i="5"/>
  <c r="T508" i="5"/>
  <c r="S508" i="5"/>
  <c r="I514" i="5"/>
  <c r="H514" i="5"/>
  <c r="E514" i="5"/>
  <c r="X514" i="5" s="1"/>
  <c r="R519" i="5"/>
  <c r="J519" i="5"/>
  <c r="T524" i="5"/>
  <c r="S524" i="5"/>
  <c r="I530" i="5"/>
  <c r="H530" i="5"/>
  <c r="E530" i="5"/>
  <c r="X530" i="5" s="1"/>
  <c r="R535" i="5"/>
  <c r="J535" i="5"/>
  <c r="T540" i="5"/>
  <c r="S540" i="5"/>
  <c r="I546" i="5"/>
  <c r="H546" i="5"/>
  <c r="E546" i="5"/>
  <c r="X546" i="5" s="1"/>
  <c r="AB554" i="5"/>
  <c r="T554" i="5"/>
  <c r="R555" i="5"/>
  <c r="J555" i="5"/>
  <c r="AB561" i="5"/>
  <c r="V561" i="5"/>
  <c r="G561" i="5" s="1"/>
  <c r="T564" i="5"/>
  <c r="S564" i="5"/>
  <c r="AB564" i="5"/>
  <c r="J570" i="5"/>
  <c r="I570" i="5"/>
  <c r="H570" i="5"/>
  <c r="E570" i="5"/>
  <c r="X570" i="5" s="1"/>
  <c r="AB574" i="5"/>
  <c r="T574" i="5"/>
  <c r="S574" i="5"/>
  <c r="AB577" i="5"/>
  <c r="V577" i="5"/>
  <c r="G577" i="5" s="1"/>
  <c r="R590" i="5"/>
  <c r="J590" i="5"/>
  <c r="I590" i="5"/>
  <c r="H590" i="5"/>
  <c r="E590" i="5"/>
  <c r="X590" i="5" s="1"/>
  <c r="H698" i="5"/>
  <c r="R698" i="5"/>
  <c r="J698" i="5"/>
  <c r="I698" i="5"/>
  <c r="F698" i="5"/>
  <c r="E698" i="5"/>
  <c r="X698" i="5" s="1"/>
  <c r="V465" i="5"/>
  <c r="G465" i="5" s="1"/>
  <c r="AB465" i="5"/>
  <c r="T468" i="5"/>
  <c r="S468" i="5"/>
  <c r="V473" i="5"/>
  <c r="AB476" i="5"/>
  <c r="S478" i="5"/>
  <c r="V481" i="5"/>
  <c r="G481" i="5" s="1"/>
  <c r="AB482" i="5"/>
  <c r="T482" i="5"/>
  <c r="J484" i="5"/>
  <c r="G487" i="5"/>
  <c r="AB487" i="5"/>
  <c r="E488" i="5"/>
  <c r="X488" i="5" s="1"/>
  <c r="I488" i="5"/>
  <c r="AB492" i="5"/>
  <c r="S494" i="5"/>
  <c r="V497" i="5"/>
  <c r="G497" i="5" s="1"/>
  <c r="AB498" i="5"/>
  <c r="T498" i="5"/>
  <c r="J500" i="5"/>
  <c r="G503" i="5"/>
  <c r="AB503" i="5"/>
  <c r="E504" i="5"/>
  <c r="X504" i="5" s="1"/>
  <c r="I504" i="5"/>
  <c r="AB508" i="5"/>
  <c r="S510" i="5"/>
  <c r="V513" i="5"/>
  <c r="G513" i="5" s="1"/>
  <c r="AB514" i="5"/>
  <c r="T514" i="5"/>
  <c r="J516" i="5"/>
  <c r="G519" i="5"/>
  <c r="AB519" i="5"/>
  <c r="E520" i="5"/>
  <c r="X520" i="5" s="1"/>
  <c r="I520" i="5"/>
  <c r="AB524" i="5"/>
  <c r="S526" i="5"/>
  <c r="V529" i="5"/>
  <c r="G529" i="5" s="1"/>
  <c r="AB530" i="5"/>
  <c r="T530" i="5"/>
  <c r="J532" i="5"/>
  <c r="G535" i="5"/>
  <c r="AB535" i="5"/>
  <c r="E536" i="5"/>
  <c r="X536" i="5" s="1"/>
  <c r="I536" i="5"/>
  <c r="AB540" i="5"/>
  <c r="V545" i="5"/>
  <c r="AB546" i="5"/>
  <c r="T546" i="5"/>
  <c r="J558" i="5"/>
  <c r="I558" i="5"/>
  <c r="H558" i="5"/>
  <c r="E558" i="5"/>
  <c r="X558" i="5" s="1"/>
  <c r="AB565" i="5"/>
  <c r="V565" i="5"/>
  <c r="T584" i="5"/>
  <c r="S584" i="5"/>
  <c r="AB584" i="5"/>
  <c r="T592" i="5"/>
  <c r="S592"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H576" i="5"/>
  <c r="V579" i="5"/>
  <c r="V583" i="5"/>
  <c r="H584" i="5"/>
  <c r="V587" i="5"/>
  <c r="G587" i="5" s="1"/>
  <c r="S590" i="5"/>
  <c r="V591" i="5"/>
  <c r="G591" i="5" s="1"/>
  <c r="S594" i="5"/>
  <c r="V595" i="5"/>
  <c r="H596" i="5"/>
  <c r="S598" i="5"/>
  <c r="V599" i="5"/>
  <c r="G599" i="5" s="1"/>
  <c r="H600" i="5"/>
  <c r="AB600" i="5"/>
  <c r="S602" i="5"/>
  <c r="V603" i="5"/>
  <c r="G603" i="5" s="1"/>
  <c r="H604" i="5"/>
  <c r="AB604" i="5"/>
  <c r="S606" i="5"/>
  <c r="V607" i="5"/>
  <c r="G607" i="5" s="1"/>
  <c r="AB608" i="5"/>
  <c r="S610" i="5"/>
  <c r="V611" i="5"/>
  <c r="G611" i="5" s="1"/>
  <c r="H612" i="5"/>
  <c r="AB612" i="5"/>
  <c r="S614" i="5"/>
  <c r="V615" i="5"/>
  <c r="G615" i="5" s="1"/>
  <c r="H616" i="5"/>
  <c r="AB616" i="5"/>
  <c r="S618" i="5"/>
  <c r="V619" i="5"/>
  <c r="G619" i="5" s="1"/>
  <c r="H620" i="5"/>
  <c r="AB620" i="5"/>
  <c r="S622" i="5"/>
  <c r="V623" i="5"/>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H648" i="5"/>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76" i="5"/>
  <c r="I584" i="5"/>
  <c r="T590" i="5"/>
  <c r="T594" i="5"/>
  <c r="I596" i="5"/>
  <c r="E598" i="5"/>
  <c r="X598" i="5" s="1"/>
  <c r="T598" i="5"/>
  <c r="I600" i="5"/>
  <c r="E602" i="5"/>
  <c r="X602" i="5" s="1"/>
  <c r="T602" i="5"/>
  <c r="I604" i="5"/>
  <c r="E606" i="5"/>
  <c r="X606" i="5" s="1"/>
  <c r="T606" i="5"/>
  <c r="I608" i="5"/>
  <c r="E610" i="5"/>
  <c r="X610" i="5" s="1"/>
  <c r="T610" i="5"/>
  <c r="I612" i="5"/>
  <c r="E614" i="5"/>
  <c r="X614" i="5" s="1"/>
  <c r="T614" i="5"/>
  <c r="I616" i="5"/>
  <c r="E618" i="5"/>
  <c r="X618" i="5" s="1"/>
  <c r="T618" i="5"/>
  <c r="I620" i="5"/>
  <c r="E622" i="5"/>
  <c r="X622" i="5" s="1"/>
  <c r="T622" i="5"/>
  <c r="G623" i="5"/>
  <c r="I624" i="5"/>
  <c r="E626" i="5"/>
  <c r="X626" i="5" s="1"/>
  <c r="T626" i="5"/>
  <c r="I628" i="5"/>
  <c r="E630" i="5"/>
  <c r="X630" i="5" s="1"/>
  <c r="T630" i="5"/>
  <c r="I632" i="5"/>
  <c r="T634" i="5"/>
  <c r="I636" i="5"/>
  <c r="E638" i="5"/>
  <c r="X638" i="5" s="1"/>
  <c r="T638" i="5"/>
  <c r="E642" i="5"/>
  <c r="X642" i="5" s="1"/>
  <c r="T642" i="5"/>
  <c r="I644" i="5"/>
  <c r="E646" i="5"/>
  <c r="X646" i="5" s="1"/>
  <c r="T646" i="5"/>
  <c r="I648" i="5"/>
  <c r="E650" i="5"/>
  <c r="X650" i="5" s="1"/>
  <c r="T650" i="5"/>
  <c r="I652" i="5"/>
  <c r="T654" i="5"/>
  <c r="I656" i="5"/>
  <c r="T658" i="5"/>
  <c r="I660" i="5"/>
  <c r="T662" i="5"/>
  <c r="T666" i="5"/>
  <c r="T670" i="5"/>
  <c r="T674" i="5"/>
  <c r="E680" i="5"/>
  <c r="X680" i="5" s="1"/>
  <c r="AB681" i="5"/>
  <c r="S683" i="5"/>
  <c r="AB686" i="5"/>
  <c r="G686" i="5"/>
  <c r="J688" i="5"/>
  <c r="J689" i="5"/>
  <c r="F691" i="5"/>
  <c r="S693" i="5"/>
  <c r="E696" i="5"/>
  <c r="X696" i="5" s="1"/>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R752" i="5"/>
  <c r="J752" i="5"/>
  <c r="H752"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J672" i="5"/>
  <c r="S673" i="5"/>
  <c r="J676" i="5"/>
  <c r="S677" i="5"/>
  <c r="F678" i="5"/>
  <c r="F680" i="5"/>
  <c r="F681" i="5"/>
  <c r="E681" i="5"/>
  <c r="X681" i="5" s="1"/>
  <c r="I681" i="5"/>
  <c r="J683" i="5"/>
  <c r="I683" i="5"/>
  <c r="E683" i="5"/>
  <c r="X683" i="5" s="1"/>
  <c r="AB687" i="5"/>
  <c r="G691" i="5"/>
  <c r="F696"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H746" i="5"/>
  <c r="R746" i="5"/>
  <c r="AB747" i="5"/>
  <c r="R748" i="5"/>
  <c r="H748" i="5"/>
  <c r="H769" i="5"/>
  <c r="F769" i="5"/>
  <c r="E769" i="5"/>
  <c r="X769" i="5" s="1"/>
  <c r="J769" i="5"/>
  <c r="I769" i="5"/>
  <c r="J775" i="5"/>
  <c r="I775" i="5"/>
  <c r="H775" i="5"/>
  <c r="F775" i="5"/>
  <c r="E775" i="5"/>
  <c r="X775" i="5" s="1"/>
  <c r="H785" i="5"/>
  <c r="F785" i="5"/>
  <c r="E785" i="5"/>
  <c r="X785" i="5" s="1"/>
  <c r="J785" i="5"/>
  <c r="I785" i="5"/>
  <c r="J791" i="5"/>
  <c r="I791" i="5"/>
  <c r="H791" i="5"/>
  <c r="F791" i="5"/>
  <c r="E791" i="5"/>
  <c r="X791" i="5" s="1"/>
  <c r="R799" i="5"/>
  <c r="J799" i="5"/>
  <c r="I799" i="5"/>
  <c r="H799" i="5"/>
  <c r="F799" i="5"/>
  <c r="E799" i="5"/>
  <c r="X799" i="5" s="1"/>
  <c r="H680" i="5"/>
  <c r="AB682" i="5"/>
  <c r="G682" i="5"/>
  <c r="AB693" i="5"/>
  <c r="H696"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S600" i="5"/>
  <c r="V601" i="5"/>
  <c r="G601" i="5" s="1"/>
  <c r="H602" i="5"/>
  <c r="S604" i="5"/>
  <c r="V605" i="5"/>
  <c r="H606" i="5"/>
  <c r="S608"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S636" i="5"/>
  <c r="V637" i="5"/>
  <c r="H638" i="5"/>
  <c r="S640" i="5"/>
  <c r="V641" i="5"/>
  <c r="G641" i="5" s="1"/>
  <c r="H642" i="5"/>
  <c r="S644" i="5"/>
  <c r="V645" i="5"/>
  <c r="H646" i="5"/>
  <c r="S648" i="5"/>
  <c r="V649" i="5"/>
  <c r="G649" i="5" s="1"/>
  <c r="H650" i="5"/>
  <c r="S652" i="5"/>
  <c r="V653" i="5"/>
  <c r="H654" i="5"/>
  <c r="S656" i="5"/>
  <c r="V657" i="5"/>
  <c r="H658" i="5"/>
  <c r="S660" i="5"/>
  <c r="V661" i="5"/>
  <c r="G661" i="5" s="1"/>
  <c r="H662" i="5"/>
  <c r="S664" i="5"/>
  <c r="V665" i="5"/>
  <c r="G665" i="5" s="1"/>
  <c r="H666" i="5"/>
  <c r="S668" i="5"/>
  <c r="V669" i="5"/>
  <c r="G669" i="5" s="1"/>
  <c r="S672" i="5"/>
  <c r="V673" i="5"/>
  <c r="G673" i="5" s="1"/>
  <c r="H674" i="5"/>
  <c r="S676" i="5"/>
  <c r="V677" i="5"/>
  <c r="G677" i="5" s="1"/>
  <c r="H678" i="5"/>
  <c r="I680" i="5"/>
  <c r="H681" i="5"/>
  <c r="AB683" i="5"/>
  <c r="F692" i="5"/>
  <c r="F693" i="5"/>
  <c r="E693" i="5"/>
  <c r="X693" i="5" s="1"/>
  <c r="I693" i="5"/>
  <c r="H694" i="5"/>
  <c r="R694" i="5"/>
  <c r="V695" i="5"/>
  <c r="G695" i="5" s="1"/>
  <c r="I696" i="5"/>
  <c r="H697" i="5"/>
  <c r="AB699" i="5"/>
  <c r="S707" i="5"/>
  <c r="R709" i="5"/>
  <c r="H711" i="5"/>
  <c r="G713" i="5"/>
  <c r="E714" i="5"/>
  <c r="X714" i="5" s="1"/>
  <c r="J715" i="5"/>
  <c r="I715" i="5"/>
  <c r="F715" i="5"/>
  <c r="E715" i="5"/>
  <c r="X715" i="5" s="1"/>
  <c r="AB719" i="5"/>
  <c r="R720" i="5"/>
  <c r="H720" i="5"/>
  <c r="S723" i="5"/>
  <c r="R725" i="5"/>
  <c r="H727" i="5"/>
  <c r="G729" i="5"/>
  <c r="J731" i="5"/>
  <c r="I731" i="5"/>
  <c r="F731" i="5"/>
  <c r="E731" i="5"/>
  <c r="X731" i="5" s="1"/>
  <c r="H734" i="5"/>
  <c r="R734" i="5"/>
  <c r="AB735" i="5"/>
  <c r="R736" i="5"/>
  <c r="H736" i="5"/>
  <c r="S739" i="5"/>
  <c r="H743" i="5"/>
  <c r="G745" i="5"/>
  <c r="E746" i="5"/>
  <c r="X746" i="5" s="1"/>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R775"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2" i="5"/>
  <c r="I606" i="5"/>
  <c r="I610" i="5"/>
  <c r="I614" i="5"/>
  <c r="I618" i="5"/>
  <c r="I622" i="5"/>
  <c r="I626" i="5"/>
  <c r="I630" i="5"/>
  <c r="G633" i="5"/>
  <c r="I638" i="5"/>
  <c r="I642" i="5"/>
  <c r="I646" i="5"/>
  <c r="I650" i="5"/>
  <c r="I678" i="5"/>
  <c r="J680" i="5"/>
  <c r="J681" i="5"/>
  <c r="F683" i="5"/>
  <c r="S685" i="5"/>
  <c r="E688" i="5"/>
  <c r="X688" i="5" s="1"/>
  <c r="AB689" i="5"/>
  <c r="S691" i="5"/>
  <c r="H692" i="5"/>
  <c r="G693" i="5"/>
  <c r="AB694" i="5"/>
  <c r="G694" i="5"/>
  <c r="J696" i="5"/>
  <c r="J697" i="5"/>
  <c r="F699" i="5"/>
  <c r="S701" i="5"/>
  <c r="E704" i="5"/>
  <c r="X704" i="5" s="1"/>
  <c r="AB705" i="5"/>
  <c r="S709" i="5"/>
  <c r="R711" i="5"/>
  <c r="H713" i="5"/>
  <c r="F714" i="5"/>
  <c r="G715" i="5"/>
  <c r="E716" i="5"/>
  <c r="X716" i="5" s="1"/>
  <c r="F717" i="5"/>
  <c r="E717" i="5"/>
  <c r="X717" i="5" s="1"/>
  <c r="AB721" i="5"/>
  <c r="S725" i="5"/>
  <c r="J726" i="5"/>
  <c r="R727" i="5"/>
  <c r="I728" i="5"/>
  <c r="H729" i="5"/>
  <c r="F730" i="5"/>
  <c r="G731" i="5"/>
  <c r="E732" i="5"/>
  <c r="X732" i="5" s="1"/>
  <c r="F733" i="5"/>
  <c r="E733" i="5"/>
  <c r="X733" i="5" s="1"/>
  <c r="J733" i="5"/>
  <c r="I733" i="5"/>
  <c r="AB737" i="5"/>
  <c r="S741" i="5"/>
  <c r="J742" i="5"/>
  <c r="R743" i="5"/>
  <c r="I744" i="5"/>
  <c r="H745" i="5"/>
  <c r="F746" i="5"/>
  <c r="G747" i="5"/>
  <c r="E748" i="5"/>
  <c r="X748" i="5" s="1"/>
  <c r="AB751" i="5"/>
  <c r="T751" i="5"/>
  <c r="E752" i="5"/>
  <c r="X752" i="5" s="1"/>
  <c r="G753" i="5"/>
  <c r="G755" i="5"/>
  <c r="AB761" i="5"/>
  <c r="T761" i="5"/>
  <c r="S761" i="5"/>
  <c r="G763" i="5"/>
  <c r="S767" i="5"/>
  <c r="AB767" i="5"/>
  <c r="T767" i="5"/>
  <c r="G773" i="5"/>
  <c r="AB777" i="5"/>
  <c r="T777" i="5"/>
  <c r="S777" i="5"/>
  <c r="G779" i="5"/>
  <c r="S783" i="5"/>
  <c r="AB783" i="5"/>
  <c r="T783" i="5"/>
  <c r="G789" i="5"/>
  <c r="AB793" i="5"/>
  <c r="T793" i="5"/>
  <c r="S793" i="5"/>
  <c r="AB797" i="5"/>
  <c r="T797" i="5"/>
  <c r="S797" i="5"/>
  <c r="H801" i="5"/>
  <c r="G801" i="5"/>
  <c r="F801" i="5"/>
  <c r="E801" i="5"/>
  <c r="X801" i="5" s="1"/>
  <c r="J801" i="5"/>
  <c r="I801" i="5"/>
  <c r="J598" i="5"/>
  <c r="J602" i="5"/>
  <c r="J606" i="5"/>
  <c r="J610" i="5"/>
  <c r="J614" i="5"/>
  <c r="J618" i="5"/>
  <c r="J622" i="5"/>
  <c r="J626" i="5"/>
  <c r="J630" i="5"/>
  <c r="J678"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J767" i="5"/>
  <c r="I767" i="5"/>
  <c r="H767" i="5"/>
  <c r="F767" i="5"/>
  <c r="E767" i="5"/>
  <c r="X767" i="5" s="1"/>
  <c r="H777" i="5"/>
  <c r="F777" i="5"/>
  <c r="E777" i="5"/>
  <c r="X777" i="5" s="1"/>
  <c r="J777" i="5"/>
  <c r="I777" i="5"/>
  <c r="E783" i="5"/>
  <c r="X783" i="5" s="1"/>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0" i="5"/>
  <c r="G688" i="5"/>
  <c r="G692" i="5"/>
  <c r="G696" i="5"/>
  <c r="G700" i="5"/>
  <c r="G704" i="5"/>
  <c r="G708" i="5"/>
  <c r="G716" i="5"/>
  <c r="G720" i="5"/>
  <c r="G724" i="5"/>
  <c r="G728" i="5"/>
  <c r="G732" i="5"/>
  <c r="G736" i="5"/>
  <c r="G740" i="5"/>
  <c r="G744" i="5"/>
  <c r="G748" i="5"/>
  <c r="R750" i="5"/>
  <c r="G752" i="5"/>
  <c r="G756" i="5"/>
  <c r="R758" i="5"/>
  <c r="G760" i="5"/>
  <c r="R762" i="5"/>
  <c r="G764" i="5"/>
  <c r="R766"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R829" i="5"/>
  <c r="I829" i="5"/>
  <c r="AB830" i="5"/>
  <c r="G831" i="5"/>
  <c r="V833" i="5"/>
  <c r="G833" i="5" s="1"/>
  <c r="V841" i="5"/>
  <c r="G841" i="5" s="1"/>
  <c r="V849" i="5"/>
  <c r="G849" i="5" s="1"/>
  <c r="H856" i="5"/>
  <c r="G860" i="5"/>
  <c r="AB860" i="5"/>
  <c r="AB861" i="5"/>
  <c r="G864" i="5"/>
  <c r="AB864" i="5"/>
  <c r="F873" i="5"/>
  <c r="S877" i="5"/>
  <c r="E883" i="5"/>
  <c r="X883" i="5" s="1"/>
  <c r="R883" i="5"/>
  <c r="I883" i="5"/>
  <c r="F883" i="5"/>
  <c r="H883"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E836" i="5"/>
  <c r="X836" i="5" s="1"/>
  <c r="R836" i="5"/>
  <c r="I836" i="5"/>
  <c r="G836" i="5"/>
  <c r="R843" i="5"/>
  <c r="J843" i="5"/>
  <c r="I843" i="5"/>
  <c r="E843" i="5"/>
  <c r="X843" i="5" s="1"/>
  <c r="E844" i="5"/>
  <c r="X844" i="5" s="1"/>
  <c r="R844" i="5"/>
  <c r="I844" i="5"/>
  <c r="G844" i="5"/>
  <c r="R851" i="5"/>
  <c r="J851" i="5"/>
  <c r="I851" i="5"/>
  <c r="E851" i="5"/>
  <c r="X851" i="5" s="1"/>
  <c r="R852" i="5"/>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0" i="5"/>
  <c r="G758" i="5"/>
  <c r="G762" i="5"/>
  <c r="G766"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E872" i="5"/>
  <c r="X872" i="5" s="1"/>
  <c r="R872" i="5"/>
  <c r="F872" i="5"/>
  <c r="I872" i="5"/>
  <c r="V874" i="5"/>
  <c r="E876" i="5"/>
  <c r="X876" i="5" s="1"/>
  <c r="R876" i="5"/>
  <c r="I876" i="5"/>
  <c r="H876" i="5"/>
  <c r="F876" i="5"/>
  <c r="G879"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F836" i="5"/>
  <c r="V839" i="5"/>
  <c r="G839" i="5" s="1"/>
  <c r="E840" i="5"/>
  <c r="X840" i="5" s="1"/>
  <c r="R840" i="5"/>
  <c r="I840" i="5"/>
  <c r="G840" i="5"/>
  <c r="G843" i="5"/>
  <c r="F844" i="5"/>
  <c r="V847" i="5"/>
  <c r="G847" i="5" s="1"/>
  <c r="E848" i="5"/>
  <c r="X848" i="5" s="1"/>
  <c r="R848" i="5"/>
  <c r="I848" i="5"/>
  <c r="G848" i="5"/>
  <c r="G851"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I915" i="5"/>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R891"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V1347" i="5"/>
  <c r="G1347" i="5" s="1"/>
  <c r="AB1456" i="5"/>
  <c r="T1456" i="5"/>
  <c r="S1456" i="5"/>
  <c r="G936" i="5"/>
  <c r="G937" i="5"/>
  <c r="R942" i="5"/>
  <c r="I942" i="5"/>
  <c r="F942"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E943" i="5"/>
  <c r="X943" i="5" s="1"/>
  <c r="R943" i="5"/>
  <c r="I943"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G1188" i="5"/>
  <c r="AB1188" i="5"/>
  <c r="V1188" i="5"/>
  <c r="J1212" i="5"/>
  <c r="I1212" i="5"/>
  <c r="R1212" i="5"/>
  <c r="H1212" i="5"/>
  <c r="E1212" i="5"/>
  <c r="X1212" i="5" s="1"/>
  <c r="F1212" i="5"/>
  <c r="V1266" i="5"/>
  <c r="AB1266" i="5"/>
  <c r="G856" i="5"/>
  <c r="AB857" i="5"/>
  <c r="G862" i="5"/>
  <c r="AB862" i="5"/>
  <c r="J865" i="5"/>
  <c r="G872"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G942"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45" i="5"/>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E942" i="5"/>
  <c r="X942"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H942" i="5"/>
  <c r="V944" i="5"/>
  <c r="G944" i="5" s="1"/>
  <c r="G945" i="5"/>
  <c r="E948" i="5"/>
  <c r="X948" i="5" s="1"/>
  <c r="R948" i="5"/>
  <c r="AB957" i="5"/>
  <c r="T957" i="5"/>
  <c r="S965" i="5"/>
  <c r="R966" i="5"/>
  <c r="J966" i="5"/>
  <c r="I966" i="5"/>
  <c r="F966" i="5"/>
  <c r="E967" i="5"/>
  <c r="X967" i="5" s="1"/>
  <c r="R967" i="5"/>
  <c r="I967" i="5"/>
  <c r="F967" i="5"/>
  <c r="I969" i="5"/>
  <c r="H969" i="5"/>
  <c r="E969" i="5"/>
  <c r="X969" i="5" s="1"/>
  <c r="E971" i="5"/>
  <c r="X971" i="5" s="1"/>
  <c r="I973" i="5"/>
  <c r="H973" i="5"/>
  <c r="E973" i="5"/>
  <c r="X973" i="5" s="1"/>
  <c r="R982" i="5"/>
  <c r="J982" i="5"/>
  <c r="I982" i="5"/>
  <c r="H982" i="5"/>
  <c r="F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G1314" i="5"/>
  <c r="V1314" i="5"/>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R1086" i="5"/>
  <c r="G1093" i="5"/>
  <c r="F1094" i="5"/>
  <c r="R1102" i="5"/>
  <c r="J1102" i="5"/>
  <c r="I1102" i="5"/>
  <c r="G1109" i="5"/>
  <c r="F1110"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J1224" i="5"/>
  <c r="I1224" i="5"/>
  <c r="R1224" i="5"/>
  <c r="H1224" i="5"/>
  <c r="F1224"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R1133" i="5"/>
  <c r="J1133" i="5"/>
  <c r="I1133"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R1272" i="5"/>
  <c r="J1272" i="5"/>
  <c r="I1272" i="5"/>
  <c r="G1272" i="5"/>
  <c r="F1272" i="5"/>
  <c r="E1272" i="5"/>
  <c r="X1272"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R1308" i="5"/>
  <c r="J1308" i="5"/>
  <c r="I1308" i="5"/>
  <c r="G1308" i="5"/>
  <c r="F1308" i="5"/>
  <c r="E1308" i="5"/>
  <c r="X1308" i="5" s="1"/>
  <c r="V1311" i="5"/>
  <c r="R1312" i="5"/>
  <c r="J1312" i="5"/>
  <c r="I1312" i="5"/>
  <c r="G1312" i="5"/>
  <c r="F1312" i="5"/>
  <c r="E1312" i="5"/>
  <c r="X1312" i="5" s="1"/>
  <c r="V1315" i="5"/>
  <c r="G1315" i="5" s="1"/>
  <c r="R1316" i="5"/>
  <c r="J1316" i="5"/>
  <c r="I1316" i="5"/>
  <c r="G1316" i="5"/>
  <c r="F1316" i="5"/>
  <c r="E1316" i="5"/>
  <c r="X1316" i="5" s="1"/>
  <c r="V1319" i="5"/>
  <c r="R1320" i="5"/>
  <c r="J1320" i="5"/>
  <c r="I1320" i="5"/>
  <c r="G1320" i="5"/>
  <c r="F1320" i="5"/>
  <c r="E1320" i="5"/>
  <c r="X1320" i="5" s="1"/>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J1204" i="5"/>
  <c r="I1204" i="5"/>
  <c r="R1204"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J1110" i="5"/>
  <c r="I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2" i="5"/>
  <c r="G986" i="5"/>
  <c r="I987" i="5"/>
  <c r="G990" i="5"/>
  <c r="I991" i="5"/>
  <c r="G994" i="5"/>
  <c r="I995" i="5"/>
  <c r="G998" i="5"/>
  <c r="I999" i="5"/>
  <c r="G1002" i="5"/>
  <c r="G1006" i="5"/>
  <c r="I1007" i="5"/>
  <c r="G1010" i="5"/>
  <c r="I1011" i="5"/>
  <c r="G1014" i="5"/>
  <c r="I1015" i="5"/>
  <c r="G1018" i="5"/>
  <c r="I1019" i="5"/>
  <c r="G1022" i="5"/>
  <c r="I1023" i="5"/>
  <c r="G1026" i="5"/>
  <c r="I1027" i="5"/>
  <c r="G1030" i="5"/>
  <c r="I1031" i="5"/>
  <c r="G1034" i="5"/>
  <c r="G1038" i="5"/>
  <c r="I1039" i="5"/>
  <c r="G1042" i="5"/>
  <c r="I1043" i="5"/>
  <c r="G1046" i="5"/>
  <c r="I1047" i="5"/>
  <c r="G1050" i="5"/>
  <c r="I1051" i="5"/>
  <c r="G1054" i="5"/>
  <c r="G1058" i="5"/>
  <c r="I1059" i="5"/>
  <c r="G1062" i="5"/>
  <c r="I1063" i="5"/>
  <c r="G1066" i="5"/>
  <c r="I1067" i="5"/>
  <c r="G1070" i="5"/>
  <c r="I1071" i="5"/>
  <c r="I1075" i="5"/>
  <c r="G1078" i="5"/>
  <c r="I1079" i="5"/>
  <c r="G1082" i="5"/>
  <c r="I1083" i="5"/>
  <c r="I1087" i="5"/>
  <c r="G1090" i="5"/>
  <c r="I1091" i="5"/>
  <c r="G1094" i="5"/>
  <c r="I1095" i="5"/>
  <c r="G1098" i="5"/>
  <c r="I1099" i="5"/>
  <c r="G1102" i="5"/>
  <c r="I1103" i="5"/>
  <c r="G1106" i="5"/>
  <c r="G1110" i="5"/>
  <c r="I1111" i="5"/>
  <c r="G1114" i="5"/>
  <c r="G1118" i="5"/>
  <c r="I1119" i="5"/>
  <c r="G1122" i="5"/>
  <c r="I1123" i="5"/>
  <c r="G1126" i="5"/>
  <c r="I1127" i="5"/>
  <c r="G1130" i="5"/>
  <c r="G1133"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G1204" i="5"/>
  <c r="V1207" i="5"/>
  <c r="G1207" i="5" s="1"/>
  <c r="F1214" i="5"/>
  <c r="E1214" i="5"/>
  <c r="X1214" i="5" s="1"/>
  <c r="I1218" i="5"/>
  <c r="AB1224" i="5"/>
  <c r="J1225" i="5"/>
  <c r="AB1227" i="5"/>
  <c r="T1227" i="5"/>
  <c r="H1233" i="5"/>
  <c r="G1236" i="5"/>
  <c r="V1239" i="5"/>
  <c r="G1239" i="5" s="1"/>
  <c r="F1241" i="5"/>
  <c r="F1246" i="5"/>
  <c r="E1246" i="5"/>
  <c r="X1246" i="5" s="1"/>
  <c r="AB1246" i="5"/>
  <c r="I1250" i="5"/>
  <c r="H1253" i="5"/>
  <c r="AB1255" i="5"/>
  <c r="H1257" i="5"/>
  <c r="AB1259" i="5"/>
  <c r="H1261" i="5"/>
  <c r="AB1263" i="5"/>
  <c r="H1265" i="5"/>
  <c r="AB1267" i="5"/>
  <c r="H1269" i="5"/>
  <c r="AB1271" i="5"/>
  <c r="H1273" i="5"/>
  <c r="AB1275" i="5"/>
  <c r="H1277" i="5"/>
  <c r="AB1279" i="5"/>
  <c r="H1281" i="5"/>
  <c r="AB1283" i="5"/>
  <c r="H1285" i="5"/>
  <c r="AB1287" i="5"/>
  <c r="H1289" i="5"/>
  <c r="AB1291" i="5"/>
  <c r="H1293" i="5"/>
  <c r="AB1295" i="5"/>
  <c r="H1297" i="5"/>
  <c r="AB1299" i="5"/>
  <c r="H1301" i="5"/>
  <c r="AB1303" i="5"/>
  <c r="H1305" i="5"/>
  <c r="AB1307" i="5"/>
  <c r="H1309" i="5"/>
  <c r="AB1311" i="5"/>
  <c r="H1313" i="5"/>
  <c r="AB1315" i="5"/>
  <c r="AB1319" i="5"/>
  <c r="H1321" i="5"/>
  <c r="AB1323" i="5"/>
  <c r="H1325" i="5"/>
  <c r="AB1327" i="5"/>
  <c r="H1329" i="5"/>
  <c r="AB1331" i="5"/>
  <c r="H1333" i="5"/>
  <c r="AB1335" i="5"/>
  <c r="R1336" i="5"/>
  <c r="J1336" i="5"/>
  <c r="I1336" i="5"/>
  <c r="I1339" i="5"/>
  <c r="E1339" i="5"/>
  <c r="X1339" i="5" s="1"/>
  <c r="R1339" i="5"/>
  <c r="J1339" i="5"/>
  <c r="H1339"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83" i="5"/>
  <c r="R987" i="5"/>
  <c r="R991" i="5"/>
  <c r="R995" i="5"/>
  <c r="R999" i="5"/>
  <c r="R1007" i="5"/>
  <c r="R1011" i="5"/>
  <c r="R1015" i="5"/>
  <c r="R1019" i="5"/>
  <c r="R1023" i="5"/>
  <c r="R1027" i="5"/>
  <c r="R1031" i="5"/>
  <c r="R1039" i="5"/>
  <c r="R1043" i="5"/>
  <c r="R1047" i="5"/>
  <c r="R1051" i="5"/>
  <c r="R1059" i="5"/>
  <c r="R1063" i="5"/>
  <c r="R1067" i="5"/>
  <c r="R1071" i="5"/>
  <c r="R1075" i="5"/>
  <c r="R1079" i="5"/>
  <c r="R1083" i="5"/>
  <c r="R1087" i="5"/>
  <c r="R1091" i="5"/>
  <c r="R1099" i="5"/>
  <c r="R1103" i="5"/>
  <c r="R1111" i="5"/>
  <c r="R1119" i="5"/>
  <c r="R1123" i="5"/>
  <c r="R1127" i="5"/>
  <c r="V1134" i="5"/>
  <c r="G1143" i="5"/>
  <c r="V1150" i="5"/>
  <c r="G1150" i="5" s="1"/>
  <c r="F1158" i="5"/>
  <c r="E1158" i="5"/>
  <c r="X1158" i="5" s="1"/>
  <c r="S1159" i="5"/>
  <c r="G1165" i="5"/>
  <c r="S1166" i="5"/>
  <c r="J1169" i="5"/>
  <c r="AB1171" i="5"/>
  <c r="T1171" i="5"/>
  <c r="H1182" i="5"/>
  <c r="V1183" i="5"/>
  <c r="G1183" i="5" s="1"/>
  <c r="S1184" i="5"/>
  <c r="S1191" i="5"/>
  <c r="G1197" i="5"/>
  <c r="S1198" i="5"/>
  <c r="J1201" i="5"/>
  <c r="AB1203" i="5"/>
  <c r="T1203" i="5"/>
  <c r="H1214" i="5"/>
  <c r="V1215" i="5"/>
  <c r="S1216" i="5"/>
  <c r="F1222" i="5"/>
  <c r="E1222" i="5"/>
  <c r="X1222" i="5" s="1"/>
  <c r="S1223" i="5"/>
  <c r="G1229" i="5"/>
  <c r="S1230" i="5"/>
  <c r="J1233"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H1385"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2" i="5"/>
  <c r="G1353" i="5"/>
  <c r="E1357" i="5"/>
  <c r="X1357" i="5" s="1"/>
  <c r="I1357" i="5"/>
  <c r="H1357" i="5"/>
  <c r="G1357" i="5"/>
  <c r="F1357" i="5"/>
  <c r="I1367" i="5"/>
  <c r="H1367" i="5"/>
  <c r="E1367" i="5"/>
  <c r="X1367" i="5" s="1"/>
  <c r="R1367" i="5"/>
  <c r="J1367" i="5"/>
  <c r="G1372" i="5"/>
  <c r="G1383" i="5"/>
  <c r="J1385"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H1158" i="5"/>
  <c r="V1159" i="5"/>
  <c r="G1159" i="5" s="1"/>
  <c r="S1160" i="5"/>
  <c r="F1161" i="5"/>
  <c r="I1165" i="5"/>
  <c r="F1166" i="5"/>
  <c r="E1166" i="5"/>
  <c r="X1166" i="5" s="1"/>
  <c r="AB1166" i="5"/>
  <c r="G1173" i="5"/>
  <c r="S1174" i="5"/>
  <c r="G1178" i="5"/>
  <c r="AB1179" i="5"/>
  <c r="T1179" i="5"/>
  <c r="J1182" i="5"/>
  <c r="H1190" i="5"/>
  <c r="V1191" i="5"/>
  <c r="S1192" i="5"/>
  <c r="I1197" i="5"/>
  <c r="F1198" i="5"/>
  <c r="E1198" i="5"/>
  <c r="X1198" i="5" s="1"/>
  <c r="AB1198" i="5"/>
  <c r="G1205" i="5"/>
  <c r="S1206" i="5"/>
  <c r="G1210" i="5"/>
  <c r="AB1211" i="5"/>
  <c r="T1211" i="5"/>
  <c r="J1214" i="5"/>
  <c r="H1222"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3" i="5"/>
  <c r="X1253" i="5" s="1"/>
  <c r="R1253"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E1285" i="5"/>
  <c r="X1285" i="5" s="1"/>
  <c r="R1285" i="5"/>
  <c r="E1289" i="5"/>
  <c r="X1289" i="5" s="1"/>
  <c r="R1289" i="5"/>
  <c r="E1293" i="5"/>
  <c r="X1293" i="5" s="1"/>
  <c r="R1293" i="5"/>
  <c r="E1297" i="5"/>
  <c r="X1297" i="5" s="1"/>
  <c r="R1297" i="5"/>
  <c r="E1301" i="5"/>
  <c r="X1301" i="5" s="1"/>
  <c r="R1301" i="5"/>
  <c r="E1305" i="5"/>
  <c r="X1305" i="5" s="1"/>
  <c r="R1305" i="5"/>
  <c r="E1309" i="5"/>
  <c r="X1309" i="5" s="1"/>
  <c r="R1309" i="5"/>
  <c r="E1313" i="5"/>
  <c r="X1313" i="5" s="1"/>
  <c r="R1313" i="5"/>
  <c r="E1321" i="5"/>
  <c r="X1321" i="5" s="1"/>
  <c r="R1321" i="5"/>
  <c r="E1325" i="5"/>
  <c r="X1325" i="5" s="1"/>
  <c r="R1325" i="5"/>
  <c r="E1329" i="5"/>
  <c r="X1329" i="5" s="1"/>
  <c r="R1329"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E1385" i="5"/>
  <c r="X1385" i="5" s="1"/>
  <c r="I1385" i="5"/>
  <c r="F1385" i="5"/>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E1381" i="5"/>
  <c r="X1381" i="5" s="1"/>
  <c r="I1381"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G1583" i="5"/>
  <c r="V1583" i="5"/>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H1672" i="5"/>
  <c r="G1672" i="5"/>
  <c r="E1680" i="5"/>
  <c r="X1680" i="5" s="1"/>
  <c r="R1680" i="5"/>
  <c r="J1680" i="5"/>
  <c r="I1680" i="5"/>
  <c r="H1680" i="5"/>
  <c r="G1680" i="5"/>
  <c r="F1680" i="5"/>
  <c r="AB1698" i="5"/>
  <c r="T1698" i="5"/>
  <c r="S1698" i="5"/>
  <c r="V2455" i="5"/>
  <c r="G2455" i="5" s="1"/>
  <c r="T2470" i="5"/>
  <c r="AB2470" i="5"/>
  <c r="S2470" i="5"/>
  <c r="V1405" i="5"/>
  <c r="J1406" i="5"/>
  <c r="V1413" i="5"/>
  <c r="G1413" i="5" s="1"/>
  <c r="J1414" i="5"/>
  <c r="V1421" i="5"/>
  <c r="J1422" i="5"/>
  <c r="E1423" i="5"/>
  <c r="X1423" i="5" s="1"/>
  <c r="AB1423" i="5"/>
  <c r="E1426" i="5"/>
  <c r="X1426" i="5" s="1"/>
  <c r="V1429" i="5"/>
  <c r="G1429" i="5" s="1"/>
  <c r="J1430" i="5"/>
  <c r="E1431" i="5"/>
  <c r="X1431" i="5" s="1"/>
  <c r="AB1431" i="5"/>
  <c r="E1434" i="5"/>
  <c r="X1434" i="5" s="1"/>
  <c r="V1437" i="5"/>
  <c r="J1438"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I1508" i="5"/>
  <c r="H1508" i="5"/>
  <c r="F1508" i="5"/>
  <c r="E1508" i="5"/>
  <c r="X1508" i="5" s="1"/>
  <c r="G1511" i="5"/>
  <c r="F1511" i="5"/>
  <c r="R1511" i="5"/>
  <c r="AB1512" i="5"/>
  <c r="T1512" i="5"/>
  <c r="G1513" i="5"/>
  <c r="AB1517" i="5"/>
  <c r="T1518" i="5"/>
  <c r="S1518" i="5"/>
  <c r="AB1518" i="5"/>
  <c r="E1526" i="5"/>
  <c r="X1526" i="5" s="1"/>
  <c r="J1526" i="5"/>
  <c r="I1526"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03" i="5"/>
  <c r="R1403" i="5"/>
  <c r="F1411" i="5"/>
  <c r="R1411" i="5"/>
  <c r="F1419" i="5"/>
  <c r="R1419" i="5"/>
  <c r="I1423" i="5"/>
  <c r="H1426" i="5"/>
  <c r="F1427" i="5"/>
  <c r="R1427" i="5"/>
  <c r="I1431" i="5"/>
  <c r="H1434"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G1655" i="5"/>
  <c r="V1655" i="5"/>
  <c r="F1766" i="5"/>
  <c r="E1766" i="5"/>
  <c r="X1766" i="5" s="1"/>
  <c r="R1766" i="5"/>
  <c r="I1766" i="5"/>
  <c r="J1766" i="5"/>
  <c r="H1766" i="5"/>
  <c r="G1766" i="5"/>
  <c r="V1810" i="5"/>
  <c r="G1810" i="5" s="1"/>
  <c r="V1401" i="5"/>
  <c r="G1401" i="5" s="1"/>
  <c r="E1403" i="5"/>
  <c r="X1403" i="5" s="1"/>
  <c r="AB1403" i="5"/>
  <c r="E1406" i="5"/>
  <c r="X1406" i="5" s="1"/>
  <c r="V1409" i="5"/>
  <c r="E1411" i="5"/>
  <c r="X1411" i="5" s="1"/>
  <c r="AB1411" i="5"/>
  <c r="E1414" i="5"/>
  <c r="X1414" i="5" s="1"/>
  <c r="V1417" i="5"/>
  <c r="E1419" i="5"/>
  <c r="X1419" i="5" s="1"/>
  <c r="AB1419" i="5"/>
  <c r="E1422" i="5"/>
  <c r="X1422" i="5" s="1"/>
  <c r="J1423" i="5"/>
  <c r="V1425" i="5"/>
  <c r="G1425" i="5" s="1"/>
  <c r="J1426" i="5"/>
  <c r="E1427" i="5"/>
  <c r="X1427" i="5" s="1"/>
  <c r="AB1427" i="5"/>
  <c r="E1430" i="5"/>
  <c r="X1430" i="5" s="1"/>
  <c r="J1431" i="5"/>
  <c r="V1433" i="5"/>
  <c r="G1433" i="5" s="1"/>
  <c r="J1434" i="5"/>
  <c r="E1435" i="5"/>
  <c r="X1435" i="5" s="1"/>
  <c r="AB1435" i="5"/>
  <c r="E1438" i="5"/>
  <c r="X1438" i="5" s="1"/>
  <c r="J1439" i="5"/>
  <c r="R1448" i="5"/>
  <c r="R1449" i="5"/>
  <c r="G1450" i="5"/>
  <c r="F1451" i="5"/>
  <c r="R1451" i="5"/>
  <c r="H1454" i="5"/>
  <c r="E1455" i="5"/>
  <c r="X1455" i="5" s="1"/>
  <c r="AB1460" i="5"/>
  <c r="T1460" i="5"/>
  <c r="AB1461" i="5"/>
  <c r="H1464" i="5"/>
  <c r="G1465" i="5"/>
  <c r="J1466" i="5"/>
  <c r="I1466" i="5"/>
  <c r="I1467" i="5"/>
  <c r="G1468" i="5"/>
  <c r="R1480" i="5"/>
  <c r="G1488" i="5"/>
  <c r="G1490" i="5"/>
  <c r="E1491" i="5"/>
  <c r="X1491" i="5" s="1"/>
  <c r="I1492" i="5"/>
  <c r="H1492" i="5"/>
  <c r="F1492" i="5"/>
  <c r="E1492" i="5"/>
  <c r="X1492" i="5" s="1"/>
  <c r="G1495" i="5"/>
  <c r="F1495" i="5"/>
  <c r="R1495" i="5"/>
  <c r="AB1496" i="5"/>
  <c r="T1496" i="5"/>
  <c r="G1497" i="5"/>
  <c r="AB1501" i="5"/>
  <c r="T1502" i="5"/>
  <c r="S1502" i="5"/>
  <c r="AB1502" i="5"/>
  <c r="S1508" i="5"/>
  <c r="J1511" i="5"/>
  <c r="G1520" i="5"/>
  <c r="G1522" i="5"/>
  <c r="E1523" i="5"/>
  <c r="X1523" i="5" s="1"/>
  <c r="I1524" i="5"/>
  <c r="H1524" i="5"/>
  <c r="F1524" i="5"/>
  <c r="E1524" i="5"/>
  <c r="X1524" i="5" s="1"/>
  <c r="F1526" i="5"/>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E1712" i="5"/>
  <c r="X1712" i="5" s="1"/>
  <c r="R1712" i="5"/>
  <c r="AB1619" i="5"/>
  <c r="AB1623" i="5"/>
  <c r="AB1638" i="5"/>
  <c r="T1638" i="5"/>
  <c r="S1638" i="5"/>
  <c r="E1644" i="5"/>
  <c r="X1644" i="5" s="1"/>
  <c r="R1644" i="5"/>
  <c r="J1644" i="5"/>
  <c r="I1644" i="5"/>
  <c r="H1644" i="5"/>
  <c r="V1651" i="5"/>
  <c r="AB1655" i="5"/>
  <c r="AB1670" i="5"/>
  <c r="T1670" i="5"/>
  <c r="S1670" i="5"/>
  <c r="E1676" i="5"/>
  <c r="X1676" i="5" s="1"/>
  <c r="R1676" i="5"/>
  <c r="J1676" i="5"/>
  <c r="I1676" i="5"/>
  <c r="H1676" i="5"/>
  <c r="V1683" i="5"/>
  <c r="G1683" i="5" s="1"/>
  <c r="AB1687" i="5"/>
  <c r="AB1702" i="5"/>
  <c r="T1702" i="5"/>
  <c r="S1702" i="5"/>
  <c r="E1708" i="5"/>
  <c r="X1708" i="5" s="1"/>
  <c r="R1708" i="5"/>
  <c r="J1708" i="5"/>
  <c r="I1708" i="5"/>
  <c r="H1708"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77" i="5"/>
  <c r="F1581" i="5"/>
  <c r="F1585" i="5"/>
  <c r="F1589" i="5"/>
  <c r="F1593" i="5"/>
  <c r="F1597" i="5"/>
  <c r="F1601" i="5"/>
  <c r="F1605" i="5"/>
  <c r="F1609" i="5"/>
  <c r="F1613" i="5"/>
  <c r="F1617" i="5"/>
  <c r="F1621" i="5"/>
  <c r="S1627" i="5"/>
  <c r="AB1631" i="5"/>
  <c r="F1636" i="5"/>
  <c r="AB1646" i="5"/>
  <c r="T1646" i="5"/>
  <c r="S1646" i="5"/>
  <c r="E1652" i="5"/>
  <c r="X1652" i="5" s="1"/>
  <c r="R1652" i="5"/>
  <c r="J1652" i="5"/>
  <c r="I1652" i="5"/>
  <c r="H1652" i="5"/>
  <c r="V1659" i="5"/>
  <c r="AB1663" i="5"/>
  <c r="F1668" i="5"/>
  <c r="AB1678" i="5"/>
  <c r="T1678" i="5"/>
  <c r="S1678" i="5"/>
  <c r="E1684" i="5"/>
  <c r="X1684" i="5" s="1"/>
  <c r="R1684" i="5"/>
  <c r="J1684" i="5"/>
  <c r="I1684" i="5"/>
  <c r="H1684" i="5"/>
  <c r="G1691" i="5"/>
  <c r="V1691" i="5"/>
  <c r="AB1695" i="5"/>
  <c r="AB1710" i="5"/>
  <c r="T1710" i="5"/>
  <c r="S1710" i="5"/>
  <c r="E1716" i="5"/>
  <c r="X1716" i="5" s="1"/>
  <c r="R1716" i="5"/>
  <c r="J1716" i="5"/>
  <c r="I1716" i="5"/>
  <c r="H1716" i="5"/>
  <c r="V1723" i="5"/>
  <c r="G1723" i="5" s="1"/>
  <c r="AB1727" i="5"/>
  <c r="V1736" i="5"/>
  <c r="V1760" i="5"/>
  <c r="G1760" i="5" s="1"/>
  <c r="T1546" i="5"/>
  <c r="AB1550" i="5"/>
  <c r="T1551" i="5"/>
  <c r="H1553" i="5"/>
  <c r="G1557" i="5"/>
  <c r="G1561" i="5"/>
  <c r="G1565" i="5"/>
  <c r="G1569" i="5"/>
  <c r="G1573" i="5"/>
  <c r="G1581" i="5"/>
  <c r="G1585" i="5"/>
  <c r="G1589" i="5"/>
  <c r="G1593"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E1688" i="5"/>
  <c r="X1688" i="5" s="1"/>
  <c r="R1688" i="5"/>
  <c r="J1688" i="5"/>
  <c r="I1688" i="5"/>
  <c r="H1688"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77" i="5"/>
  <c r="H1581" i="5"/>
  <c r="H1585" i="5"/>
  <c r="H1589" i="5"/>
  <c r="H1593" i="5"/>
  <c r="H1597" i="5"/>
  <c r="H1601" i="5"/>
  <c r="H1605" i="5"/>
  <c r="H1609" i="5"/>
  <c r="H1613" i="5"/>
  <c r="H1617" i="5"/>
  <c r="H1621" i="5"/>
  <c r="V1635" i="5"/>
  <c r="G1635" i="5" s="1"/>
  <c r="F1644" i="5"/>
  <c r="AB1654" i="5"/>
  <c r="T1654" i="5"/>
  <c r="S1654" i="5"/>
  <c r="E1660" i="5"/>
  <c r="X1660" i="5" s="1"/>
  <c r="R1660" i="5"/>
  <c r="J1660" i="5"/>
  <c r="I1660" i="5"/>
  <c r="H1660" i="5"/>
  <c r="V1667" i="5"/>
  <c r="G1667" i="5" s="1"/>
  <c r="F1676" i="5"/>
  <c r="AB1686" i="5"/>
  <c r="T1686" i="5"/>
  <c r="S1686" i="5"/>
  <c r="E1692" i="5"/>
  <c r="X1692" i="5" s="1"/>
  <c r="R1692" i="5"/>
  <c r="J1692" i="5"/>
  <c r="I1692" i="5"/>
  <c r="H1692" i="5"/>
  <c r="V1699" i="5"/>
  <c r="G1699" i="5" s="1"/>
  <c r="F1708" i="5"/>
  <c r="AB1718" i="5"/>
  <c r="T1718" i="5"/>
  <c r="S1718" i="5"/>
  <c r="E1724" i="5"/>
  <c r="X1724" i="5" s="1"/>
  <c r="R1724" i="5"/>
  <c r="J1724" i="5"/>
  <c r="I1724" i="5"/>
  <c r="H1724"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G1644" i="5"/>
  <c r="AB1658" i="5"/>
  <c r="T1658" i="5"/>
  <c r="S1658" i="5"/>
  <c r="E1664" i="5"/>
  <c r="X1664" i="5" s="1"/>
  <c r="V1671" i="5"/>
  <c r="G1671" i="5" s="1"/>
  <c r="AB1675" i="5"/>
  <c r="G1676" i="5"/>
  <c r="AB1690" i="5"/>
  <c r="T1690" i="5"/>
  <c r="S1690" i="5"/>
  <c r="V1703" i="5"/>
  <c r="G1703" i="5" s="1"/>
  <c r="AB1707" i="5"/>
  <c r="G1708"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J1577" i="5"/>
  <c r="E1581" i="5"/>
  <c r="X1581" i="5" s="1"/>
  <c r="R1581" i="5"/>
  <c r="J1581" i="5"/>
  <c r="E1585" i="5"/>
  <c r="X1585" i="5" s="1"/>
  <c r="R1585" i="5"/>
  <c r="J1585" i="5"/>
  <c r="E1589" i="5"/>
  <c r="X1589" i="5" s="1"/>
  <c r="R1589" i="5"/>
  <c r="J1589" i="5"/>
  <c r="E1593" i="5"/>
  <c r="X1593" i="5" s="1"/>
  <c r="R1593" i="5"/>
  <c r="J1593" i="5"/>
  <c r="E1597" i="5"/>
  <c r="X1597" i="5" s="1"/>
  <c r="R1597" i="5"/>
  <c r="J1597" i="5"/>
  <c r="E1601" i="5"/>
  <c r="X1601" i="5" s="1"/>
  <c r="R1601" i="5"/>
  <c r="J1601" i="5"/>
  <c r="E1605" i="5"/>
  <c r="X1605" i="5" s="1"/>
  <c r="R1605" i="5"/>
  <c r="J1605" i="5"/>
  <c r="R1609" i="5"/>
  <c r="J1609"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E1668" i="5"/>
  <c r="X1668" i="5" s="1"/>
  <c r="R1668" i="5"/>
  <c r="J1668" i="5"/>
  <c r="I1668" i="5"/>
  <c r="H1668" i="5"/>
  <c r="V1675" i="5"/>
  <c r="G1675" i="5" s="1"/>
  <c r="AB1679" i="5"/>
  <c r="AB1694" i="5"/>
  <c r="T1694" i="5"/>
  <c r="S1694" i="5"/>
  <c r="J1700" i="5"/>
  <c r="I1700" i="5"/>
  <c r="H1700"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3" i="5"/>
  <c r="J1637" i="5"/>
  <c r="J1641" i="5"/>
  <c r="J1649" i="5"/>
  <c r="J1653" i="5"/>
  <c r="J1657" i="5"/>
  <c r="J1661" i="5"/>
  <c r="J1665" i="5"/>
  <c r="J1673" i="5"/>
  <c r="J1677" i="5"/>
  <c r="J1681" i="5"/>
  <c r="J1685" i="5"/>
  <c r="J1689" i="5"/>
  <c r="J1693" i="5"/>
  <c r="J1701" i="5"/>
  <c r="J1705" i="5"/>
  <c r="J1709" i="5"/>
  <c r="J1713" i="5"/>
  <c r="J1717" i="5"/>
  <c r="J1721" i="5"/>
  <c r="J1725" i="5"/>
  <c r="J1729" i="5"/>
  <c r="H1732" i="5"/>
  <c r="AB1734" i="5"/>
  <c r="AB1736" i="5"/>
  <c r="V1739" i="5"/>
  <c r="V1742" i="5"/>
  <c r="G1742" i="5" s="1"/>
  <c r="G1747" i="5"/>
  <c r="V1747" i="5"/>
  <c r="G1751" i="5"/>
  <c r="AB1751" i="5"/>
  <c r="I1752" i="5"/>
  <c r="E1752" i="5"/>
  <c r="X1752" i="5" s="1"/>
  <c r="AB1764" i="5"/>
  <c r="T1764" i="5"/>
  <c r="E1765" i="5"/>
  <c r="X1765" i="5" s="1"/>
  <c r="F1778" i="5"/>
  <c r="E1778" i="5"/>
  <c r="X1778" i="5" s="1"/>
  <c r="R1778" i="5"/>
  <c r="J1778" i="5"/>
  <c r="I1778" i="5"/>
  <c r="F1782" i="5"/>
  <c r="E1782" i="5"/>
  <c r="X1782" i="5" s="1"/>
  <c r="R1782" i="5"/>
  <c r="J1782" i="5"/>
  <c r="I1782" i="5"/>
  <c r="F1786"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3" i="5"/>
  <c r="R1637" i="5"/>
  <c r="R1641" i="5"/>
  <c r="R1645" i="5"/>
  <c r="R1649" i="5"/>
  <c r="R1653" i="5"/>
  <c r="R1657" i="5"/>
  <c r="R1661" i="5"/>
  <c r="R1665" i="5"/>
  <c r="R1669" i="5"/>
  <c r="R1673" i="5"/>
  <c r="R1677" i="5"/>
  <c r="R1681" i="5"/>
  <c r="R1685" i="5"/>
  <c r="R1689" i="5"/>
  <c r="R1693" i="5"/>
  <c r="R1697" i="5"/>
  <c r="R1701" i="5"/>
  <c r="R1705" i="5"/>
  <c r="R1709" i="5"/>
  <c r="R1713" i="5"/>
  <c r="R1717" i="5"/>
  <c r="R1721" i="5"/>
  <c r="R1725"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J1770" i="5"/>
  <c r="I1770" i="5"/>
  <c r="E1777" i="5"/>
  <c r="X1777" i="5" s="1"/>
  <c r="H1778" i="5"/>
  <c r="E1781" i="5"/>
  <c r="X1781" i="5" s="1"/>
  <c r="H1782" i="5"/>
  <c r="E1785" i="5"/>
  <c r="X1785" i="5" s="1"/>
  <c r="H1786" i="5"/>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G1570"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F1754" i="5"/>
  <c r="E1754" i="5"/>
  <c r="X1754" i="5" s="1"/>
  <c r="R1754" i="5"/>
  <c r="I1754"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J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E1859" i="5"/>
  <c r="X1859" i="5" s="1"/>
  <c r="R1859" i="5"/>
  <c r="J1859" i="5"/>
  <c r="I1859" i="5"/>
  <c r="H1859"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R1919" i="5"/>
  <c r="J1919" i="5"/>
  <c r="H1919" i="5"/>
  <c r="I1919" i="5"/>
  <c r="F1919" i="5"/>
  <c r="E1919" i="5"/>
  <c r="X1919"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F1859"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G2263" i="5"/>
  <c r="V2263" i="5"/>
  <c r="E1884" i="5"/>
  <c r="X1884" i="5" s="1"/>
  <c r="J1884" i="5"/>
  <c r="E1892" i="5"/>
  <c r="X1892" i="5" s="1"/>
  <c r="J1892" i="5"/>
  <c r="E1900" i="5"/>
  <c r="X1900" i="5" s="1"/>
  <c r="J1900" i="5"/>
  <c r="T1908" i="5"/>
  <c r="S1908" i="5"/>
  <c r="T1912" i="5"/>
  <c r="S1912" i="5"/>
  <c r="T1916" i="5"/>
  <c r="S1916" i="5"/>
  <c r="T1920" i="5"/>
  <c r="S1920" i="5"/>
  <c r="T1924" i="5"/>
  <c r="S1924" i="5"/>
  <c r="AB1924" i="5"/>
  <c r="V1942" i="5"/>
  <c r="T1945" i="5"/>
  <c r="S1945" i="5"/>
  <c r="R1947" i="5"/>
  <c r="J1947" i="5"/>
  <c r="I1947" i="5"/>
  <c r="H1947"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R2092" i="5"/>
  <c r="J2092" i="5"/>
  <c r="I2092" i="5"/>
  <c r="H2092" i="5"/>
  <c r="G2092" i="5"/>
  <c r="F2092" i="5"/>
  <c r="E2092" i="5"/>
  <c r="X2092"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R1959" i="5"/>
  <c r="J1959" i="5"/>
  <c r="I1959" i="5"/>
  <c r="H1959" i="5"/>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F1900"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E2043" i="5"/>
  <c r="X2043" i="5" s="1"/>
  <c r="R2043" i="5"/>
  <c r="J2043" i="5"/>
  <c r="I2043" i="5"/>
  <c r="H2043"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F1936" i="5"/>
  <c r="V1946" i="5"/>
  <c r="E1947" i="5"/>
  <c r="X1947" i="5" s="1"/>
  <c r="T1949" i="5"/>
  <c r="S1949" i="5"/>
  <c r="E1967" i="5"/>
  <c r="X1967" i="5" s="1"/>
  <c r="R1967" i="5"/>
  <c r="J1967" i="5"/>
  <c r="I1967"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G1852" i="5"/>
  <c r="E1874" i="5"/>
  <c r="X1874" i="5" s="1"/>
  <c r="AB1874" i="5"/>
  <c r="R1878" i="5"/>
  <c r="E1882" i="5"/>
  <c r="X1882" i="5" s="1"/>
  <c r="AB1882" i="5"/>
  <c r="H1884" i="5"/>
  <c r="X1885" i="5"/>
  <c r="R1886" i="5"/>
  <c r="E1890" i="5"/>
  <c r="X1890" i="5" s="1"/>
  <c r="AB1890" i="5"/>
  <c r="H1892" i="5"/>
  <c r="R1894" i="5"/>
  <c r="E1898" i="5"/>
  <c r="X1898" i="5" s="1"/>
  <c r="H1900" i="5"/>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7"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16" i="5"/>
  <c r="J2020" i="5"/>
  <c r="J2024" i="5"/>
  <c r="J2028" i="5"/>
  <c r="J2032" i="5"/>
  <c r="J2036" i="5"/>
  <c r="J2040" i="5"/>
  <c r="J2044" i="5"/>
  <c r="J2048" i="5"/>
  <c r="V2049" i="5"/>
  <c r="G2049" i="5" s="1"/>
  <c r="H2053" i="5"/>
  <c r="V2054" i="5"/>
  <c r="G2054" i="5" s="1"/>
  <c r="S2055" i="5"/>
  <c r="G2056" i="5"/>
  <c r="T2057" i="5"/>
  <c r="S2057" i="5"/>
  <c r="H2061" i="5"/>
  <c r="V2062" i="5"/>
  <c r="G2062" i="5" s="1"/>
  <c r="S2063" i="5"/>
  <c r="G2064" i="5"/>
  <c r="T2065" i="5"/>
  <c r="S2065" i="5"/>
  <c r="H2069" i="5"/>
  <c r="V2070" i="5"/>
  <c r="G2070" i="5" s="1"/>
  <c r="S2071" i="5"/>
  <c r="G2072" i="5"/>
  <c r="T2073" i="5"/>
  <c r="S2073" i="5"/>
  <c r="H2077"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12" i="5"/>
  <c r="R2016" i="5"/>
  <c r="R2020" i="5"/>
  <c r="R2024" i="5"/>
  <c r="R2028" i="5"/>
  <c r="R2032" i="5"/>
  <c r="R2036" i="5"/>
  <c r="R2040" i="5"/>
  <c r="R2044" i="5"/>
  <c r="R2048" i="5"/>
  <c r="V2052" i="5"/>
  <c r="I2053" i="5"/>
  <c r="T2055" i="5"/>
  <c r="V2060" i="5"/>
  <c r="I2061" i="5"/>
  <c r="T2063" i="5"/>
  <c r="V2068" i="5"/>
  <c r="I2069" i="5"/>
  <c r="T2071" i="5"/>
  <c r="V2076" i="5"/>
  <c r="I2077"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J2069" i="5"/>
  <c r="V2071" i="5"/>
  <c r="J2077"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E2012" i="5"/>
  <c r="X2012" i="5" s="1"/>
  <c r="G2013" i="5"/>
  <c r="E2016" i="5"/>
  <c r="X2016" i="5" s="1"/>
  <c r="G2017" i="5"/>
  <c r="E2020" i="5"/>
  <c r="X2020" i="5" s="1"/>
  <c r="G2021" i="5"/>
  <c r="E2024" i="5"/>
  <c r="X2024" i="5" s="1"/>
  <c r="G2025" i="5"/>
  <c r="E2028" i="5"/>
  <c r="X2028" i="5" s="1"/>
  <c r="G2029" i="5"/>
  <c r="E2032" i="5"/>
  <c r="X2032" i="5" s="1"/>
  <c r="G2033" i="5"/>
  <c r="E2036" i="5"/>
  <c r="X2036" i="5" s="1"/>
  <c r="G2037" i="5"/>
  <c r="E2040" i="5"/>
  <c r="X2040" i="5" s="1"/>
  <c r="G2041" i="5"/>
  <c r="E2044" i="5"/>
  <c r="X2044" i="5" s="1"/>
  <c r="G2045" i="5"/>
  <c r="E2048" i="5"/>
  <c r="X2048" i="5" s="1"/>
  <c r="R2053" i="5"/>
  <c r="G2057" i="5"/>
  <c r="R2061" i="5"/>
  <c r="R2069" i="5"/>
  <c r="R2077"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G2066" i="5"/>
  <c r="V2066" i="5"/>
  <c r="AB2066" i="5"/>
  <c r="T2069" i="5"/>
  <c r="S2069" i="5"/>
  <c r="V2074" i="5"/>
  <c r="G2074" i="5" s="1"/>
  <c r="AB2074" i="5"/>
  <c r="T2077" i="5"/>
  <c r="S2077" i="5"/>
  <c r="I2087" i="5"/>
  <c r="H2087" i="5"/>
  <c r="H2116"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E2157" i="5"/>
  <c r="X2157" i="5" s="1"/>
  <c r="R2157" i="5"/>
  <c r="J2157" i="5"/>
  <c r="J2162" i="5"/>
  <c r="G2173" i="5"/>
  <c r="G2174" i="5"/>
  <c r="F2174" i="5"/>
  <c r="E2174" i="5"/>
  <c r="X2174" i="5" s="1"/>
  <c r="AB2178" i="5"/>
  <c r="T2178" i="5"/>
  <c r="S2178" i="5"/>
  <c r="R2184" i="5"/>
  <c r="J2184" i="5"/>
  <c r="I2184" i="5"/>
  <c r="H2184"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E2161" i="5"/>
  <c r="X2161" i="5" s="1"/>
  <c r="R2161" i="5"/>
  <c r="J2161" i="5"/>
  <c r="R2164" i="5"/>
  <c r="J2164" i="5"/>
  <c r="I2164" i="5"/>
  <c r="H2164" i="5"/>
  <c r="S2167" i="5"/>
  <c r="H2173"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E2133" i="5"/>
  <c r="X2133" i="5" s="1"/>
  <c r="R2133" i="5"/>
  <c r="J2133" i="5"/>
  <c r="V2136" i="5"/>
  <c r="S2139" i="5"/>
  <c r="I2142" i="5"/>
  <c r="H2145" i="5"/>
  <c r="H2146" i="5"/>
  <c r="G2150" i="5"/>
  <c r="F2150" i="5"/>
  <c r="E2150" i="5"/>
  <c r="X2150" i="5" s="1"/>
  <c r="T2154" i="5"/>
  <c r="S2154" i="5"/>
  <c r="V2155" i="5"/>
  <c r="G2155" i="5" s="1"/>
  <c r="AB2159" i="5"/>
  <c r="AB2164" i="5"/>
  <c r="E2165" i="5"/>
  <c r="X2165" i="5" s="1"/>
  <c r="R2165"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F2157" i="5"/>
  <c r="T2158" i="5"/>
  <c r="S2158" i="5"/>
  <c r="V2159" i="5"/>
  <c r="G2159" i="5" s="1"/>
  <c r="AB2163" i="5"/>
  <c r="AB2168" i="5"/>
  <c r="E2169" i="5"/>
  <c r="X2169" i="5" s="1"/>
  <c r="R2169" i="5"/>
  <c r="J2169" i="5"/>
  <c r="V2172" i="5"/>
  <c r="G2172" i="5" s="1"/>
  <c r="J2174" i="5"/>
  <c r="J2178" i="5"/>
  <c r="AB2183" i="5"/>
  <c r="E2184" i="5"/>
  <c r="X2184" i="5" s="1"/>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E2173" i="5"/>
  <c r="X2173" i="5" s="1"/>
  <c r="R2173" i="5"/>
  <c r="J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1" i="5"/>
  <c r="J2185" i="5"/>
  <c r="J2189" i="5"/>
  <c r="AB2199" i="5"/>
  <c r="T2199" i="5"/>
  <c r="E2199" i="5"/>
  <c r="X2199" i="5" s="1"/>
  <c r="AB2207" i="5"/>
  <c r="T2207" i="5"/>
  <c r="H2207" i="5"/>
  <c r="E2207" i="5"/>
  <c r="X2207" i="5" s="1"/>
  <c r="AB2215" i="5"/>
  <c r="T2215" i="5"/>
  <c r="H2215" i="5"/>
  <c r="E2215" i="5"/>
  <c r="X2215" i="5" s="1"/>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1"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5" i="5"/>
  <c r="F2218" i="5"/>
  <c r="R2218" i="5"/>
  <c r="G2224" i="5"/>
  <c r="AB2224" i="5"/>
  <c r="E2225" i="5"/>
  <c r="X2225" i="5" s="1"/>
  <c r="I2225" i="5"/>
  <c r="AB2231" i="5"/>
  <c r="T2231" i="5"/>
  <c r="R2232" i="5"/>
  <c r="J2232"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R2317" i="5"/>
  <c r="J2317" i="5"/>
  <c r="I2317" i="5"/>
  <c r="G2317" i="5"/>
  <c r="H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G2232" i="5"/>
  <c r="I2233" i="5"/>
  <c r="G2236" i="5"/>
  <c r="I2237" i="5"/>
  <c r="G2240" i="5"/>
  <c r="G2244" i="5"/>
  <c r="G2248" i="5"/>
  <c r="G2252" i="5"/>
  <c r="G2256" i="5"/>
  <c r="G2260" i="5"/>
  <c r="G2264" i="5"/>
  <c r="J2273" i="5"/>
  <c r="V2276" i="5"/>
  <c r="T2278" i="5"/>
  <c r="AB2278" i="5"/>
  <c r="H2282" i="5"/>
  <c r="V2283" i="5"/>
  <c r="J2284" i="5"/>
  <c r="G2291" i="5"/>
  <c r="G2294" i="5"/>
  <c r="G2295" i="5"/>
  <c r="G2299" i="5"/>
  <c r="F2303" i="5"/>
  <c r="R2305" i="5"/>
  <c r="I2305" i="5"/>
  <c r="G2305" i="5"/>
  <c r="F2310" i="5"/>
  <c r="G2312" i="5"/>
  <c r="AB2315" i="5"/>
  <c r="E2318" i="5"/>
  <c r="X2318" i="5" s="1"/>
  <c r="R2318" i="5"/>
  <c r="J2318"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R2293" i="5"/>
  <c r="I2293" i="5"/>
  <c r="H2293" i="5"/>
  <c r="R2301"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3" i="5"/>
  <c r="X2293" i="5" s="1"/>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F2293" i="5"/>
  <c r="E2294" i="5"/>
  <c r="X2294" i="5" s="1"/>
  <c r="R2294" i="5"/>
  <c r="F2301" i="5"/>
  <c r="E2303" i="5"/>
  <c r="X2303" i="5" s="1"/>
  <c r="R2303" i="5"/>
  <c r="H2306" i="5"/>
  <c r="H2308" i="5"/>
  <c r="E2310" i="5"/>
  <c r="X2310" i="5" s="1"/>
  <c r="R2310"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E2363" i="5"/>
  <c r="X2363" i="5" s="1"/>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63" i="5"/>
  <c r="R2363" i="5"/>
  <c r="I2363" i="5"/>
  <c r="H2363" i="5"/>
  <c r="F2363"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F2409" i="5"/>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R2330" i="5"/>
  <c r="R2334" i="5"/>
  <c r="T2335" i="5"/>
  <c r="R2338" i="5"/>
  <c r="T2339" i="5"/>
  <c r="R2342" i="5"/>
  <c r="T2343" i="5"/>
  <c r="R2346" i="5"/>
  <c r="T2347" i="5"/>
  <c r="R2350" i="5"/>
  <c r="G2356" i="5"/>
  <c r="AB2362" i="5"/>
  <c r="T2362" i="5"/>
  <c r="AB2370" i="5"/>
  <c r="T2370" i="5"/>
  <c r="AB2378" i="5"/>
  <c r="T2378" i="5"/>
  <c r="E2386" i="5"/>
  <c r="X2386" i="5" s="1"/>
  <c r="G2388" i="5"/>
  <c r="I2395" i="5"/>
  <c r="H2395" i="5"/>
  <c r="J2395" i="5"/>
  <c r="F2395" i="5"/>
  <c r="E2395" i="5"/>
  <c r="X2395" i="5" s="1"/>
  <c r="R2412" i="5"/>
  <c r="J2412" i="5"/>
  <c r="I2412" i="5"/>
  <c r="H2412" i="5"/>
  <c r="R2480" i="5"/>
  <c r="I2480" i="5"/>
  <c r="H2480" i="5"/>
  <c r="J2480" i="5"/>
  <c r="G2480" i="5"/>
  <c r="F2480" i="5"/>
  <c r="E2480" i="5"/>
  <c r="X2480" i="5" s="1"/>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E2397" i="5"/>
  <c r="X2397" i="5" s="1"/>
  <c r="R2397"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54" i="5"/>
  <c r="J2461" i="5"/>
  <c r="V2463" i="5"/>
  <c r="G2463" i="5" s="1"/>
  <c r="J2469" i="5"/>
  <c r="V2471" i="5"/>
  <c r="G2482" i="5"/>
  <c r="G2488" i="5"/>
  <c r="R2454"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C10" i="6" l="1"/>
  <c r="C11" i="6"/>
  <c r="C7" i="6"/>
  <c r="C9" i="6"/>
  <c r="C8" i="6"/>
  <c r="C4" i="6"/>
  <c r="X310" i="5"/>
  <c r="X96" i="5"/>
  <c r="X76" i="5"/>
  <c r="X64" i="5"/>
  <c r="X44" i="5"/>
  <c r="X22" i="5"/>
  <c r="X298" i="5"/>
  <c r="X266" i="5"/>
  <c r="X21" i="5"/>
  <c r="X117" i="5"/>
  <c r="X307" i="5"/>
  <c r="X84" i="5"/>
  <c r="X72" i="5"/>
  <c r="X52" i="5"/>
  <c r="X40" i="5"/>
  <c r="X29" i="5"/>
  <c r="X186" i="5"/>
  <c r="X154" i="5"/>
  <c r="X122" i="5"/>
  <c r="X92" i="5"/>
  <c r="X80" i="5"/>
  <c r="X60" i="5"/>
  <c r="X48" i="5"/>
  <c r="X30" i="5"/>
  <c r="X282" i="5"/>
  <c r="X250" i="5"/>
  <c r="X153" i="5"/>
  <c r="X109" i="5"/>
  <c r="X230" i="5"/>
  <c r="X221" i="5"/>
  <c r="X88" i="5"/>
  <c r="X68" i="5"/>
  <c r="X56" i="5"/>
  <c r="X36" i="5"/>
  <c r="X121" i="5"/>
  <c r="X205" i="5"/>
  <c r="X278" i="5"/>
  <c r="X246" i="5"/>
  <c r="X222" i="5"/>
  <c r="X206" i="5"/>
  <c r="X162" i="5"/>
  <c r="X118" i="5"/>
  <c r="X146" i="5"/>
  <c r="X38" i="5"/>
  <c r="X34" i="5"/>
  <c r="X66" i="5"/>
  <c r="X241" i="5"/>
  <c r="X126" i="5"/>
  <c r="X309" i="5"/>
  <c r="X217" i="5"/>
  <c r="X311" i="5"/>
  <c r="X234" i="5"/>
  <c r="X285" i="5"/>
  <c r="X86" i="5"/>
  <c r="X70" i="5"/>
  <c r="X138" i="5"/>
  <c r="X82" i="5"/>
  <c r="X301" i="5"/>
  <c r="X198" i="5"/>
  <c r="X134" i="5"/>
  <c r="X46" i="5"/>
  <c r="X242" i="5"/>
  <c r="X114" i="5"/>
  <c r="X233" i="5"/>
  <c r="X54" i="5"/>
  <c r="X50" i="5"/>
  <c r="X202" i="5"/>
  <c r="X142" i="5"/>
  <c r="X62" i="5"/>
  <c r="X90" i="5"/>
  <c r="X158" i="5"/>
  <c r="X214" i="5"/>
  <c r="X130" i="5"/>
  <c r="X262" i="5"/>
  <c r="X182" i="5"/>
  <c r="X218" i="5"/>
  <c r="X174" i="5"/>
  <c r="X253" i="5"/>
  <c r="X98" i="5"/>
  <c r="X249" i="5"/>
  <c r="X265" i="5"/>
  <c r="X78" i="5"/>
  <c r="B32" i="6"/>
  <c r="C12" i="6"/>
  <c r="E2409" i="5"/>
  <c r="X2409" i="5" s="1"/>
  <c r="I2116" i="5"/>
  <c r="R1774" i="5"/>
  <c r="R1140" i="5"/>
  <c r="H869" i="5"/>
  <c r="G869" i="5"/>
  <c r="E852" i="5"/>
  <c r="X852" i="5" s="1"/>
  <c r="R754" i="5"/>
  <c r="J439" i="5"/>
  <c r="J411" i="5"/>
  <c r="J293" i="5"/>
  <c r="H277" i="5"/>
  <c r="E87" i="5"/>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87" i="5"/>
  <c r="I2417" i="5"/>
  <c r="H1842" i="5"/>
  <c r="R1855" i="5"/>
  <c r="E1811" i="5"/>
  <c r="X1811" i="5" s="1"/>
  <c r="H1317" i="5"/>
  <c r="G1086" i="5"/>
  <c r="I979" i="5"/>
  <c r="E869" i="5"/>
  <c r="X869" i="5" s="1"/>
  <c r="F888" i="5"/>
  <c r="R730" i="5"/>
  <c r="E738" i="5"/>
  <c r="X738" i="5" s="1"/>
  <c r="F524" i="5"/>
  <c r="F1140" i="5"/>
  <c r="J580" i="5"/>
  <c r="E592" i="5"/>
  <c r="X592" i="5" s="1"/>
  <c r="I1842" i="5"/>
  <c r="E1855" i="5"/>
  <c r="X1855" i="5" s="1"/>
  <c r="R1811" i="5"/>
  <c r="G1774" i="5"/>
  <c r="F1471" i="5"/>
  <c r="R1317" i="5"/>
  <c r="I1086" i="5"/>
  <c r="I869" i="5"/>
  <c r="G852" i="5"/>
  <c r="H730" i="5"/>
  <c r="H592" i="5"/>
  <c r="R411" i="5"/>
  <c r="H439" i="5"/>
  <c r="H411" i="5"/>
  <c r="E330" i="5"/>
  <c r="X330" i="5" s="1"/>
  <c r="I277" i="5"/>
  <c r="I730" i="5"/>
  <c r="F87" i="5"/>
  <c r="R87" i="5"/>
  <c r="J1842" i="5"/>
  <c r="H1696" i="5"/>
  <c r="E1317" i="5"/>
  <c r="X1317" i="5" s="1"/>
  <c r="J1086" i="5"/>
  <c r="I524" i="5"/>
  <c r="R439" i="5"/>
  <c r="I293" i="5"/>
  <c r="J87" i="5"/>
  <c r="G2342" i="5"/>
  <c r="B30" i="6"/>
  <c r="B41" i="6"/>
  <c r="G41" i="6" s="1"/>
  <c r="B31" i="6"/>
  <c r="G31" i="6" s="1"/>
  <c r="J306" i="5"/>
  <c r="G644" i="5"/>
  <c r="E281" i="5"/>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F102" i="5"/>
  <c r="E2325" i="5"/>
  <c r="X2325" i="5" s="1"/>
  <c r="H2012" i="5"/>
  <c r="F640" i="5"/>
  <c r="E556" i="5"/>
  <c r="X556" i="5" s="1"/>
  <c r="J207" i="5"/>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R194" i="5"/>
  <c r="R215"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E194" i="5"/>
  <c r="G2413" i="5"/>
  <c r="E2301" i="5"/>
  <c r="X2301" i="5" s="1"/>
  <c r="G1936" i="5"/>
  <c r="I1801" i="5"/>
  <c r="J1664" i="5"/>
  <c r="I1712" i="5"/>
  <c r="E1494" i="5"/>
  <c r="X1494" i="5" s="1"/>
  <c r="E1190" i="5"/>
  <c r="X1190" i="5" s="1"/>
  <c r="J1352" i="5"/>
  <c r="I1292" i="5"/>
  <c r="R875" i="5"/>
  <c r="G712" i="5"/>
  <c r="R738" i="5"/>
  <c r="E749" i="5"/>
  <c r="X749" i="5" s="1"/>
  <c r="I717" i="5"/>
  <c r="R718" i="5"/>
  <c r="F757" i="5"/>
  <c r="I306" i="5"/>
  <c r="H189" i="5"/>
  <c r="F189" i="5"/>
  <c r="R207" i="5"/>
  <c r="E102" i="5"/>
  <c r="F281" i="5"/>
  <c r="E1510" i="5"/>
  <c r="X1510" i="5" s="1"/>
  <c r="F1190" i="5"/>
  <c r="I983" i="5"/>
  <c r="J1292" i="5"/>
  <c r="G974" i="5"/>
  <c r="E974" i="5"/>
  <c r="X974" i="5" s="1"/>
  <c r="F749" i="5"/>
  <c r="J717" i="5"/>
  <c r="H640" i="5"/>
  <c r="H588" i="5"/>
  <c r="R435" i="5"/>
  <c r="H431" i="5"/>
  <c r="I281" i="5"/>
  <c r="I189"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F243" i="5"/>
  <c r="G2381" i="5"/>
  <c r="J1527" i="5"/>
  <c r="I1527" i="5"/>
  <c r="H1527" i="5"/>
  <c r="E1527" i="5"/>
  <c r="X1527" i="5" s="1"/>
  <c r="G265" i="5"/>
  <c r="F592" i="5"/>
  <c r="R592" i="5"/>
  <c r="I2386" i="5"/>
  <c r="H2405" i="5"/>
  <c r="H2180" i="5"/>
  <c r="R2100" i="5"/>
  <c r="R1940" i="5"/>
  <c r="G1761" i="5"/>
  <c r="R1867" i="5"/>
  <c r="J1193" i="5"/>
  <c r="G1304" i="5"/>
  <c r="F1145" i="5"/>
  <c r="F867" i="5"/>
  <c r="J303" i="5"/>
  <c r="H1940" i="5"/>
  <c r="H243" i="5"/>
  <c r="E71" i="5"/>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E201" i="5"/>
  <c r="F71" i="5"/>
  <c r="R71" i="5"/>
  <c r="F2381" i="5"/>
  <c r="E2405" i="5"/>
  <c r="X2405" i="5" s="1"/>
  <c r="J2386" i="5"/>
  <c r="R2180" i="5"/>
  <c r="H2160" i="5"/>
  <c r="F2100" i="5"/>
  <c r="R1952" i="5"/>
  <c r="H2035" i="5"/>
  <c r="F1867" i="5"/>
  <c r="R1786" i="5"/>
  <c r="R1131" i="5"/>
  <c r="R1304" i="5"/>
  <c r="I971" i="5"/>
  <c r="F1074" i="5"/>
  <c r="F971" i="5"/>
  <c r="I817" i="5"/>
  <c r="I330" i="5"/>
  <c r="J379" i="5"/>
  <c r="I303" i="5"/>
  <c r="H201" i="5"/>
  <c r="G574" i="5"/>
  <c r="G189" i="5"/>
  <c r="G1665" i="5"/>
  <c r="R2386" i="5"/>
  <c r="I2160" i="5"/>
  <c r="E1952" i="5"/>
  <c r="X1952" i="5" s="1"/>
  <c r="I2035" i="5"/>
  <c r="E1786" i="5"/>
  <c r="X1786" i="5" s="1"/>
  <c r="I1471" i="5"/>
  <c r="R1471" i="5"/>
  <c r="R971" i="5"/>
  <c r="H1145" i="5"/>
  <c r="H971" i="5"/>
  <c r="J817" i="5"/>
  <c r="R817" i="5"/>
  <c r="F303" i="5"/>
  <c r="I201" i="5"/>
  <c r="G971" i="5"/>
  <c r="J71" i="5"/>
  <c r="I71" i="5"/>
  <c r="F201" i="5"/>
  <c r="G2289" i="5"/>
  <c r="G592" i="5"/>
  <c r="R1055" i="5"/>
  <c r="I891" i="5"/>
  <c r="H867" i="5"/>
  <c r="G915" i="5"/>
  <c r="G774" i="5"/>
  <c r="R712" i="5"/>
  <c r="R427" i="5"/>
  <c r="J194"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175" i="5"/>
  <c r="R175" i="5"/>
  <c r="J175" i="5"/>
  <c r="H808" i="5"/>
  <c r="J808" i="5"/>
  <c r="E808" i="5"/>
  <c r="X808" i="5" s="1"/>
  <c r="E644" i="5"/>
  <c r="X644" i="5" s="1"/>
  <c r="F644" i="5"/>
  <c r="G194" i="5"/>
  <c r="G87" i="5"/>
  <c r="I2265" i="5"/>
  <c r="R2265" i="5"/>
  <c r="J2265" i="5"/>
  <c r="E608" i="5"/>
  <c r="X608" i="5" s="1"/>
  <c r="F608" i="5"/>
  <c r="J1138" i="5"/>
  <c r="E891" i="5"/>
  <c r="X891" i="5" s="1"/>
  <c r="I867" i="5"/>
  <c r="R915" i="5"/>
  <c r="R710" i="5"/>
  <c r="H664" i="5"/>
  <c r="H608" i="5"/>
  <c r="H407" i="5"/>
  <c r="F194" i="5"/>
  <c r="I2215" i="5"/>
  <c r="J2215" i="5"/>
  <c r="G2265" i="5"/>
  <c r="J1198" i="5"/>
  <c r="R1198" i="5"/>
  <c r="I1198" i="5"/>
  <c r="H1198" i="5"/>
  <c r="E987" i="5"/>
  <c r="X987" i="5" s="1"/>
  <c r="F987" i="5"/>
  <c r="H851" i="5"/>
  <c r="F851" i="5"/>
  <c r="G71" i="5"/>
  <c r="R1107" i="5"/>
  <c r="G931" i="5"/>
  <c r="F931" i="5"/>
  <c r="I931" i="5"/>
  <c r="I1138" i="5"/>
  <c r="R867" i="5"/>
  <c r="E915" i="5"/>
  <c r="X915" i="5" s="1"/>
  <c r="G710" i="5"/>
  <c r="I712" i="5"/>
  <c r="E679" i="5"/>
  <c r="X679" i="5" s="1"/>
  <c r="H710" i="5"/>
  <c r="J407" i="5"/>
  <c r="G2160" i="5"/>
  <c r="G1770" i="5"/>
  <c r="G1673" i="5"/>
  <c r="H1526" i="5"/>
  <c r="R1526" i="5"/>
  <c r="G1313" i="5"/>
  <c r="E580" i="5"/>
  <c r="X580" i="5" s="1"/>
  <c r="F580" i="5"/>
  <c r="H836" i="5"/>
  <c r="J836" i="5"/>
  <c r="R1158" i="5"/>
  <c r="J1158" i="5"/>
  <c r="I1158" i="5"/>
  <c r="H215" i="5"/>
  <c r="E215" i="5"/>
  <c r="I215" i="5"/>
  <c r="F215" i="5"/>
  <c r="R931" i="5"/>
  <c r="R1138" i="5"/>
  <c r="E867" i="5"/>
  <c r="X867" i="5" s="1"/>
  <c r="G891" i="5"/>
  <c r="G867" i="5"/>
  <c r="I679" i="5"/>
  <c r="J427" i="5"/>
  <c r="F2265" i="5"/>
  <c r="E2265" i="5"/>
  <c r="X2265" i="5" s="1"/>
  <c r="I2199" i="5"/>
  <c r="R2199" i="5"/>
  <c r="J2199" i="5"/>
  <c r="E1051" i="5"/>
  <c r="X1051" i="5" s="1"/>
  <c r="H1051" i="5"/>
  <c r="G1067" i="5"/>
  <c r="R578" i="5"/>
  <c r="F578" i="5"/>
  <c r="G201" i="5"/>
  <c r="G115" i="5"/>
  <c r="R306" i="5"/>
  <c r="H306" i="5"/>
  <c r="G463" i="5"/>
  <c r="R243" i="5"/>
  <c r="J243" i="5"/>
  <c r="I243" i="5"/>
  <c r="E243" i="5"/>
  <c r="J1761" i="5"/>
  <c r="I1510" i="5"/>
  <c r="E1464" i="5"/>
  <c r="X1464" i="5" s="1"/>
  <c r="F1138" i="5"/>
  <c r="F891" i="5"/>
  <c r="H2265" i="5"/>
  <c r="F974" i="5"/>
  <c r="I2397" i="5"/>
  <c r="F2397" i="5"/>
  <c r="I2253" i="5"/>
  <c r="R2253" i="5"/>
  <c r="J2253" i="5"/>
  <c r="H2253" i="5"/>
  <c r="G2199" i="5"/>
  <c r="I2257" i="5"/>
  <c r="J2257" i="5"/>
  <c r="J1403" i="5"/>
  <c r="H1403" i="5"/>
  <c r="G1492" i="5"/>
  <c r="H191" i="5"/>
  <c r="J191" i="5"/>
  <c r="R191" i="5"/>
  <c r="I191" i="5"/>
  <c r="E191" i="5"/>
  <c r="H103" i="5"/>
  <c r="J103" i="5"/>
  <c r="R103" i="5"/>
  <c r="R314" i="5"/>
  <c r="H314" i="5"/>
  <c r="H207" i="5"/>
  <c r="E207" i="5"/>
  <c r="I207" i="5"/>
  <c r="F207"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G175" i="5"/>
  <c r="I239" i="5"/>
  <c r="R239" i="5"/>
  <c r="F239" i="5"/>
  <c r="E239" i="5"/>
  <c r="G103" i="5"/>
  <c r="I391" i="5"/>
  <c r="F391" i="5"/>
  <c r="G191" i="5"/>
  <c r="H102" i="5"/>
  <c r="I102" i="5"/>
  <c r="F915" i="5"/>
  <c r="H712" i="5"/>
  <c r="H427" i="5"/>
  <c r="H194" i="5"/>
  <c r="I2213" i="5"/>
  <c r="R2213" i="5"/>
  <c r="J2213" i="5"/>
  <c r="H2213" i="5"/>
  <c r="F2213" i="5"/>
  <c r="J2381" i="5"/>
  <c r="I2381" i="5"/>
  <c r="E2381" i="5"/>
  <c r="X2381" i="5" s="1"/>
  <c r="J1309" i="5"/>
  <c r="I1309" i="5"/>
  <c r="J1325" i="5"/>
  <c r="F1325" i="5"/>
  <c r="H43" i="5"/>
  <c r="I43" i="5"/>
  <c r="E43" i="5"/>
  <c r="J43" i="5"/>
  <c r="R43" i="5"/>
  <c r="H91" i="5"/>
  <c r="R91" i="5"/>
  <c r="E91" i="5"/>
  <c r="I91" i="5"/>
  <c r="J91" i="5"/>
  <c r="G43"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X443" i="5" s="1"/>
  <c r="I443" i="5"/>
  <c r="F443" i="5"/>
  <c r="H163" i="5"/>
  <c r="R163" i="5"/>
  <c r="J163" i="5"/>
  <c r="I163" i="5"/>
  <c r="F163" i="5"/>
  <c r="E163" i="5"/>
  <c r="G163" i="5"/>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X576" i="5" s="1"/>
  <c r="J576" i="5"/>
  <c r="F576" i="5"/>
  <c r="R576" i="5"/>
  <c r="E423" i="5"/>
  <c r="X423" i="5" s="1"/>
  <c r="I423" i="5"/>
  <c r="F423" i="5"/>
  <c r="F379" i="5"/>
  <c r="I379" i="5"/>
  <c r="R297" i="5"/>
  <c r="F297" i="5"/>
  <c r="E297" i="5"/>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X596" i="5" s="1"/>
  <c r="R596" i="5"/>
  <c r="J596" i="5"/>
  <c r="F596" i="5"/>
  <c r="I365" i="5"/>
  <c r="H365" i="5"/>
  <c r="F365" i="5"/>
  <c r="E365" i="5"/>
  <c r="X365" i="5" s="1"/>
  <c r="R365" i="5"/>
  <c r="J365" i="5"/>
  <c r="H279" i="5"/>
  <c r="F279" i="5"/>
  <c r="E279" i="5"/>
  <c r="R279" i="5"/>
  <c r="J279" i="5"/>
  <c r="I279" i="5"/>
  <c r="R717" i="5"/>
  <c r="H717" i="5"/>
  <c r="H251" i="5"/>
  <c r="R251" i="5"/>
  <c r="J251" i="5"/>
  <c r="I251" i="5"/>
  <c r="F251" i="5"/>
  <c r="E251" i="5"/>
  <c r="R293" i="5"/>
  <c r="F293" i="5"/>
  <c r="E293" i="5"/>
  <c r="G251" i="5"/>
  <c r="J334" i="5"/>
  <c r="H334" i="5"/>
  <c r="E334" i="5"/>
  <c r="X334" i="5" s="1"/>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X447" i="5" s="1"/>
  <c r="I447" i="5"/>
  <c r="F447" i="5"/>
  <c r="E415" i="5"/>
  <c r="X415" i="5" s="1"/>
  <c r="I415" i="5"/>
  <c r="F415" i="5"/>
  <c r="I752" i="5"/>
  <c r="F752" i="5"/>
  <c r="R602" i="5"/>
  <c r="F602" i="5"/>
  <c r="R261" i="5"/>
  <c r="E261" i="5"/>
  <c r="F261" i="5"/>
  <c r="R277" i="5"/>
  <c r="F277" i="5"/>
  <c r="E277" i="5"/>
  <c r="E600" i="5"/>
  <c r="X600" i="5" s="1"/>
  <c r="R600" i="5"/>
  <c r="J600" i="5"/>
  <c r="F600" i="5"/>
  <c r="H151" i="5"/>
  <c r="R151" i="5"/>
  <c r="J151" i="5"/>
  <c r="I151" i="5"/>
  <c r="F151" i="5"/>
  <c r="E151" i="5"/>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X407" i="5" s="1"/>
  <c r="I407" i="5"/>
  <c r="F407" i="5"/>
  <c r="H287" i="5"/>
  <c r="R287" i="5"/>
  <c r="J287" i="5"/>
  <c r="I287" i="5"/>
  <c r="F287" i="5"/>
  <c r="E287" i="5"/>
  <c r="G423" i="5"/>
  <c r="E435" i="5"/>
  <c r="X435" i="5" s="1"/>
  <c r="I435" i="5"/>
  <c r="F435" i="5"/>
  <c r="H211" i="5"/>
  <c r="R211" i="5"/>
  <c r="J211" i="5"/>
  <c r="I211" i="5"/>
  <c r="F211" i="5"/>
  <c r="E211" i="5"/>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X588" i="5" s="1"/>
  <c r="J588" i="5"/>
  <c r="F588" i="5"/>
  <c r="R588" i="5"/>
  <c r="J650" i="5"/>
  <c r="R650" i="5"/>
  <c r="F650" i="5"/>
  <c r="I670" i="5"/>
  <c r="R670" i="5"/>
  <c r="J670" i="5"/>
  <c r="F670" i="5"/>
  <c r="E670" i="5"/>
  <c r="X670" i="5" s="1"/>
  <c r="E472" i="5"/>
  <c r="X472" i="5" s="1"/>
  <c r="J472" i="5"/>
  <c r="H472" i="5"/>
  <c r="F472" i="5"/>
  <c r="R472" i="5"/>
  <c r="G472" i="5"/>
  <c r="E439" i="5"/>
  <c r="X439" i="5" s="1"/>
  <c r="I439" i="5"/>
  <c r="F439" i="5"/>
  <c r="R305" i="5"/>
  <c r="J305" i="5"/>
  <c r="I305" i="5"/>
  <c r="H305" i="5"/>
  <c r="E305" i="5"/>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X419" i="5" s="1"/>
  <c r="I419" i="5"/>
  <c r="F419" i="5"/>
  <c r="I395" i="5"/>
  <c r="F395" i="5"/>
  <c r="E411" i="5"/>
  <c r="X411" i="5" s="1"/>
  <c r="I411" i="5"/>
  <c r="F411" i="5"/>
  <c r="G261" i="5"/>
  <c r="G15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G814" i="5"/>
  <c r="G576" i="5"/>
  <c r="E431" i="5"/>
  <c r="X431" i="5" s="1"/>
  <c r="I431" i="5"/>
  <c r="F431" i="5"/>
  <c r="E427" i="5"/>
  <c r="X427" i="5" s="1"/>
  <c r="I427" i="5"/>
  <c r="F427" i="5"/>
  <c r="G443" i="5"/>
  <c r="G379" i="5"/>
  <c r="F26" i="6"/>
  <c r="X18" i="5"/>
  <c r="B52" i="6"/>
  <c r="G52" i="6" s="1"/>
  <c r="B37" i="6"/>
  <c r="G37" i="6" s="1"/>
  <c r="B42" i="6"/>
  <c r="G42" i="6" s="1"/>
  <c r="B40" i="6"/>
  <c r="G40" i="6" s="1"/>
  <c r="B50" i="6"/>
  <c r="G50" i="6" s="1"/>
  <c r="B25" i="6"/>
  <c r="G25" i="6" s="1"/>
  <c r="B35" i="6"/>
  <c r="G35" i="6" s="1"/>
  <c r="X6" i="5"/>
  <c r="B39" i="6"/>
  <c r="G39" i="6" s="1"/>
  <c r="F24" i="6"/>
  <c r="G30" i="6"/>
  <c r="C14" i="6"/>
  <c r="B44" i="6"/>
  <c r="G44" i="6" s="1"/>
  <c r="G32" i="6"/>
  <c r="B49" i="6"/>
  <c r="G49" i="6" s="1"/>
  <c r="B34" i="6"/>
  <c r="G34" i="6" s="1"/>
  <c r="B29" i="6"/>
  <c r="G29" i="6" s="1"/>
  <c r="B24" i="6"/>
  <c r="G24" i="6" s="1"/>
  <c r="H24" i="6" s="1"/>
  <c r="G19" i="6"/>
  <c r="H19" i="6" s="1"/>
  <c r="F2426" i="5"/>
  <c r="E2426" i="5"/>
  <c r="X2426" i="5" s="1"/>
  <c r="R2426" i="5"/>
  <c r="J2426" i="5"/>
  <c r="I2426" i="5"/>
  <c r="H2426" i="5"/>
  <c r="D5" i="6"/>
  <c r="C5" i="6"/>
  <c r="F2446" i="5"/>
  <c r="H2446" i="5"/>
  <c r="E2446" i="5"/>
  <c r="X2446" i="5" s="1"/>
  <c r="J2446" i="5"/>
  <c r="I2446" i="5"/>
  <c r="R2446" i="5"/>
  <c r="G22" i="6"/>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X605" i="5" s="1"/>
  <c r="R605" i="5"/>
  <c r="J605" i="5"/>
  <c r="E595" i="5"/>
  <c r="X595" i="5" s="1"/>
  <c r="R595" i="5"/>
  <c r="J595" i="5"/>
  <c r="F595" i="5"/>
  <c r="I595" i="5"/>
  <c r="H595" i="5"/>
  <c r="R583" i="5"/>
  <c r="J583" i="5"/>
  <c r="F583" i="5"/>
  <c r="I583" i="5"/>
  <c r="H583" i="5"/>
  <c r="E583" i="5"/>
  <c r="X583" i="5" s="1"/>
  <c r="R567" i="5"/>
  <c r="J567" i="5"/>
  <c r="F567" i="5"/>
  <c r="I567" i="5"/>
  <c r="H567" i="5"/>
  <c r="E567" i="5"/>
  <c r="X567" i="5" s="1"/>
  <c r="F529" i="5"/>
  <c r="R529" i="5"/>
  <c r="J529" i="5"/>
  <c r="I529" i="5"/>
  <c r="H529" i="5"/>
  <c r="E529" i="5"/>
  <c r="X529" i="5" s="1"/>
  <c r="I486" i="5"/>
  <c r="H486" i="5"/>
  <c r="E486" i="5"/>
  <c r="X486" i="5" s="1"/>
  <c r="F486" i="5"/>
  <c r="R486" i="5"/>
  <c r="J486" i="5"/>
  <c r="R467" i="5"/>
  <c r="J467" i="5"/>
  <c r="G467" i="5"/>
  <c r="F467" i="5"/>
  <c r="E467" i="5"/>
  <c r="X467" i="5" s="1"/>
  <c r="I467" i="5"/>
  <c r="H467" i="5"/>
  <c r="F521" i="5"/>
  <c r="R521" i="5"/>
  <c r="J521" i="5"/>
  <c r="I521" i="5"/>
  <c r="H521" i="5"/>
  <c r="E521" i="5"/>
  <c r="X521" i="5" s="1"/>
  <c r="F469" i="5"/>
  <c r="J469" i="5"/>
  <c r="I469" i="5"/>
  <c r="H469" i="5"/>
  <c r="E469" i="5"/>
  <c r="X469" i="5" s="1"/>
  <c r="R469" i="5"/>
  <c r="F541" i="5"/>
  <c r="R541" i="5"/>
  <c r="J541" i="5"/>
  <c r="I541" i="5"/>
  <c r="H541" i="5"/>
  <c r="E541" i="5"/>
  <c r="X541" i="5" s="1"/>
  <c r="F509" i="5"/>
  <c r="R509" i="5"/>
  <c r="J509" i="5"/>
  <c r="I509" i="5"/>
  <c r="H509" i="5"/>
  <c r="E509" i="5"/>
  <c r="X509" i="5" s="1"/>
  <c r="I466" i="5"/>
  <c r="H466" i="5"/>
  <c r="R466" i="5"/>
  <c r="J466" i="5"/>
  <c r="F466" i="5"/>
  <c r="E466" i="5"/>
  <c r="X466" i="5" s="1"/>
  <c r="R378" i="5"/>
  <c r="I378" i="5"/>
  <c r="H378" i="5"/>
  <c r="F378" i="5"/>
  <c r="G378" i="5"/>
  <c r="J378" i="5"/>
  <c r="E378" i="5"/>
  <c r="X378" i="5" s="1"/>
  <c r="E340" i="5"/>
  <c r="X340" i="5" s="1"/>
  <c r="J340" i="5"/>
  <c r="R340" i="5"/>
  <c r="I340" i="5"/>
  <c r="H340" i="5"/>
  <c r="F340" i="5"/>
  <c r="R394" i="5"/>
  <c r="J394" i="5"/>
  <c r="I394" i="5"/>
  <c r="H394" i="5"/>
  <c r="F394" i="5"/>
  <c r="E394" i="5"/>
  <c r="X394" i="5" s="1"/>
  <c r="G394" i="5"/>
  <c r="R374" i="5"/>
  <c r="I374" i="5"/>
  <c r="H374" i="5"/>
  <c r="F374" i="5"/>
  <c r="J374" i="5"/>
  <c r="G374" i="5"/>
  <c r="E374" i="5"/>
  <c r="X374" i="5" s="1"/>
  <c r="E355" i="5"/>
  <c r="X355" i="5" s="1"/>
  <c r="R355" i="5"/>
  <c r="J355" i="5"/>
  <c r="H355" i="5"/>
  <c r="F355" i="5"/>
  <c r="I355" i="5"/>
  <c r="E324" i="5"/>
  <c r="X324" i="5" s="1"/>
  <c r="J324" i="5"/>
  <c r="R324" i="5"/>
  <c r="H324" i="5"/>
  <c r="G324" i="5"/>
  <c r="F324" i="5"/>
  <c r="I324" i="5"/>
  <c r="J300" i="5"/>
  <c r="I300" i="5"/>
  <c r="H300" i="5"/>
  <c r="F300" i="5"/>
  <c r="E300" i="5"/>
  <c r="R300" i="5"/>
  <c r="J292" i="5"/>
  <c r="I292" i="5"/>
  <c r="H292" i="5"/>
  <c r="F292" i="5"/>
  <c r="E292" i="5"/>
  <c r="R292" i="5"/>
  <c r="J284" i="5"/>
  <c r="I284" i="5"/>
  <c r="H284" i="5"/>
  <c r="F284" i="5"/>
  <c r="E284" i="5"/>
  <c r="R284" i="5"/>
  <c r="J276" i="5"/>
  <c r="T276" i="5" s="1"/>
  <c r="I276" i="5"/>
  <c r="H276" i="5"/>
  <c r="F276" i="5"/>
  <c r="E276" i="5"/>
  <c r="R276" i="5"/>
  <c r="J268" i="5"/>
  <c r="I268" i="5"/>
  <c r="H268" i="5"/>
  <c r="F268" i="5"/>
  <c r="E268" i="5"/>
  <c r="R268" i="5"/>
  <c r="J260" i="5"/>
  <c r="I260" i="5"/>
  <c r="H260" i="5"/>
  <c r="F260" i="5"/>
  <c r="E260" i="5"/>
  <c r="R260" i="5"/>
  <c r="J252" i="5"/>
  <c r="I252" i="5"/>
  <c r="H252" i="5"/>
  <c r="F252" i="5"/>
  <c r="E252" i="5"/>
  <c r="R252" i="5"/>
  <c r="J244" i="5"/>
  <c r="T244" i="5" s="1"/>
  <c r="I244" i="5"/>
  <c r="H244" i="5"/>
  <c r="R244" i="5"/>
  <c r="J236" i="5"/>
  <c r="I236" i="5"/>
  <c r="H236" i="5"/>
  <c r="F236" i="5"/>
  <c r="E236" i="5"/>
  <c r="R236" i="5"/>
  <c r="J228" i="5"/>
  <c r="I228" i="5"/>
  <c r="H228" i="5"/>
  <c r="F228" i="5"/>
  <c r="E228" i="5"/>
  <c r="R228" i="5"/>
  <c r="J132" i="5"/>
  <c r="H132" i="5"/>
  <c r="F132" i="5"/>
  <c r="R132" i="5"/>
  <c r="I132" i="5"/>
  <c r="E132" i="5"/>
  <c r="R402" i="5"/>
  <c r="J402" i="5"/>
  <c r="I402" i="5"/>
  <c r="H402" i="5"/>
  <c r="F402" i="5"/>
  <c r="E402" i="5"/>
  <c r="X402" i="5" s="1"/>
  <c r="G355" i="5"/>
  <c r="J204" i="5"/>
  <c r="H204" i="5"/>
  <c r="F204" i="5"/>
  <c r="I204" i="5"/>
  <c r="E204" i="5"/>
  <c r="R204" i="5"/>
  <c r="J116" i="5"/>
  <c r="H116" i="5"/>
  <c r="F116" i="5"/>
  <c r="R116" i="5"/>
  <c r="I116" i="5"/>
  <c r="E116" i="5"/>
  <c r="J104" i="5"/>
  <c r="H104" i="5"/>
  <c r="F104" i="5"/>
  <c r="R104" i="5"/>
  <c r="I104" i="5"/>
  <c r="E104" i="5"/>
  <c r="D74" i="4"/>
  <c r="D37" i="4"/>
  <c r="D61" i="4"/>
  <c r="D43" i="4"/>
  <c r="D49" i="4"/>
  <c r="D31" i="4"/>
  <c r="D67" i="4"/>
  <c r="D55" i="4"/>
  <c r="A17" i="6"/>
  <c r="B35" i="4"/>
  <c r="A22" i="6" s="1"/>
  <c r="B46" i="6"/>
  <c r="G46" i="6" s="1"/>
  <c r="B26" i="6"/>
  <c r="G26" i="6" s="1"/>
  <c r="H26" i="6" s="1"/>
  <c r="G21" i="6"/>
  <c r="H21"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X601" i="5" s="1"/>
  <c r="R601" i="5"/>
  <c r="J601" i="5"/>
  <c r="G595" i="5"/>
  <c r="G583" i="5"/>
  <c r="G567" i="5"/>
  <c r="E591" i="5"/>
  <c r="X591" i="5" s="1"/>
  <c r="R591" i="5"/>
  <c r="J591" i="5"/>
  <c r="F591" i="5"/>
  <c r="I591" i="5"/>
  <c r="H591" i="5"/>
  <c r="H577" i="5"/>
  <c r="F577" i="5"/>
  <c r="R577" i="5"/>
  <c r="J577" i="5"/>
  <c r="E577" i="5"/>
  <c r="X577" i="5" s="1"/>
  <c r="I577" i="5"/>
  <c r="I534" i="5"/>
  <c r="H534" i="5"/>
  <c r="E534" i="5"/>
  <c r="X534" i="5" s="1"/>
  <c r="F534" i="5"/>
  <c r="R534" i="5"/>
  <c r="J534" i="5"/>
  <c r="F537" i="5"/>
  <c r="R537" i="5"/>
  <c r="J537" i="5"/>
  <c r="I537" i="5"/>
  <c r="H537" i="5"/>
  <c r="E537" i="5"/>
  <c r="X537" i="5" s="1"/>
  <c r="I538" i="5"/>
  <c r="H538" i="5"/>
  <c r="E538" i="5"/>
  <c r="X538" i="5" s="1"/>
  <c r="J538" i="5"/>
  <c r="G538" i="5"/>
  <c r="F538" i="5"/>
  <c r="R538" i="5"/>
  <c r="I522" i="5"/>
  <c r="H522" i="5"/>
  <c r="E522" i="5"/>
  <c r="X522" i="5" s="1"/>
  <c r="J522" i="5"/>
  <c r="G522" i="5"/>
  <c r="F522" i="5"/>
  <c r="R522" i="5"/>
  <c r="I506" i="5"/>
  <c r="H506" i="5"/>
  <c r="E506" i="5"/>
  <c r="X506" i="5" s="1"/>
  <c r="J506" i="5"/>
  <c r="G506" i="5"/>
  <c r="F506" i="5"/>
  <c r="R506" i="5"/>
  <c r="I490" i="5"/>
  <c r="H490" i="5"/>
  <c r="E490" i="5"/>
  <c r="X490" i="5" s="1"/>
  <c r="J490" i="5"/>
  <c r="G490" i="5"/>
  <c r="F490" i="5"/>
  <c r="R490" i="5"/>
  <c r="R398" i="5"/>
  <c r="J398" i="5"/>
  <c r="I398" i="5"/>
  <c r="H398" i="5"/>
  <c r="F398" i="5"/>
  <c r="G398" i="5"/>
  <c r="E398" i="5"/>
  <c r="X398" i="5" s="1"/>
  <c r="R362" i="5"/>
  <c r="I362" i="5"/>
  <c r="H362" i="5"/>
  <c r="F362" i="5"/>
  <c r="J362" i="5"/>
  <c r="G362" i="5"/>
  <c r="E362" i="5"/>
  <c r="X362" i="5" s="1"/>
  <c r="J184" i="5"/>
  <c r="H184" i="5"/>
  <c r="F184" i="5"/>
  <c r="E184" i="5"/>
  <c r="R184" i="5"/>
  <c r="I184" i="5"/>
  <c r="E328" i="5"/>
  <c r="X328" i="5" s="1"/>
  <c r="J328" i="5"/>
  <c r="F328" i="5"/>
  <c r="R328" i="5"/>
  <c r="I328" i="5"/>
  <c r="H328" i="5"/>
  <c r="J220" i="5"/>
  <c r="I220" i="5"/>
  <c r="H220" i="5"/>
  <c r="F220" i="5"/>
  <c r="E220" i="5"/>
  <c r="R220" i="5"/>
  <c r="J176" i="5"/>
  <c r="H176" i="5"/>
  <c r="F176" i="5"/>
  <c r="R176" i="5"/>
  <c r="I176" i="5"/>
  <c r="E176" i="5"/>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X611" i="5" s="1"/>
  <c r="R611" i="5"/>
  <c r="J611" i="5"/>
  <c r="I611" i="5"/>
  <c r="H611" i="5"/>
  <c r="F611" i="5"/>
  <c r="I502" i="5"/>
  <c r="H502" i="5"/>
  <c r="E502" i="5"/>
  <c r="X502" i="5" s="1"/>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X518" i="5" s="1"/>
  <c r="F518" i="5"/>
  <c r="R518" i="5"/>
  <c r="J518" i="5"/>
  <c r="F493" i="5"/>
  <c r="R493" i="5"/>
  <c r="J493" i="5"/>
  <c r="I493" i="5"/>
  <c r="H493" i="5"/>
  <c r="E493" i="5"/>
  <c r="X493" i="5" s="1"/>
  <c r="G502" i="5"/>
  <c r="E442" i="5"/>
  <c r="X442" i="5" s="1"/>
  <c r="R442" i="5"/>
  <c r="J442" i="5"/>
  <c r="I442" i="5"/>
  <c r="H442" i="5"/>
  <c r="G442" i="5"/>
  <c r="F442" i="5"/>
  <c r="R410" i="5"/>
  <c r="J410" i="5"/>
  <c r="I410" i="5"/>
  <c r="H410" i="5"/>
  <c r="F410" i="5"/>
  <c r="G410" i="5"/>
  <c r="E410" i="5"/>
  <c r="X410" i="5" s="1"/>
  <c r="J216" i="5"/>
  <c r="I216" i="5"/>
  <c r="H216" i="5"/>
  <c r="F216" i="5"/>
  <c r="E216" i="5"/>
  <c r="R216" i="5"/>
  <c r="J120" i="5"/>
  <c r="H120" i="5"/>
  <c r="F120" i="5"/>
  <c r="E120" i="5"/>
  <c r="R120" i="5"/>
  <c r="I120" i="5"/>
  <c r="J140" i="5"/>
  <c r="H140" i="5"/>
  <c r="F140" i="5"/>
  <c r="I140" i="5"/>
  <c r="E140" i="5"/>
  <c r="R140" i="5"/>
  <c r="J192" i="5"/>
  <c r="H192" i="5"/>
  <c r="F192" i="5"/>
  <c r="R192" i="5"/>
  <c r="I192" i="5"/>
  <c r="E192" i="5"/>
  <c r="A25" i="6"/>
  <c r="B57" i="4"/>
  <c r="A40" i="6" s="1"/>
  <c r="B51" i="4"/>
  <c r="A35" i="6" s="1"/>
  <c r="B69" i="4"/>
  <c r="A50" i="6" s="1"/>
  <c r="B63" i="4"/>
  <c r="A45" i="6" s="1"/>
  <c r="F67" i="6"/>
  <c r="F31" i="6"/>
  <c r="F46" i="6"/>
  <c r="F41" i="6"/>
  <c r="F36" i="6"/>
  <c r="H36" i="6" s="1"/>
  <c r="D36" i="6" s="1"/>
  <c r="F51" i="6"/>
  <c r="H51" i="6" s="1"/>
  <c r="D51" i="6" s="1"/>
  <c r="J2479" i="5"/>
  <c r="I2479" i="5"/>
  <c r="E2479" i="5"/>
  <c r="X2479" i="5" s="1"/>
  <c r="R2479" i="5"/>
  <c r="H2479" i="5"/>
  <c r="G2479" i="5"/>
  <c r="F2479" i="5"/>
  <c r="F45" i="6"/>
  <c r="H45" i="6" s="1"/>
  <c r="D45" i="6" s="1"/>
  <c r="F66" i="6"/>
  <c r="F50" i="6"/>
  <c r="F30" i="6"/>
  <c r="H25" i="6"/>
  <c r="F35" i="6"/>
  <c r="H35" i="6" s="1"/>
  <c r="D35" i="6" s="1"/>
  <c r="F40" i="6"/>
  <c r="H40" i="6" s="1"/>
  <c r="D40" i="6" s="1"/>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X575" i="5" s="1"/>
  <c r="I575" i="5"/>
  <c r="H575" i="5"/>
  <c r="F545" i="5"/>
  <c r="R545" i="5"/>
  <c r="J545" i="5"/>
  <c r="I545" i="5"/>
  <c r="H545" i="5"/>
  <c r="E545" i="5"/>
  <c r="X545" i="5" s="1"/>
  <c r="F473" i="5"/>
  <c r="R473" i="5"/>
  <c r="J473" i="5"/>
  <c r="I473" i="5"/>
  <c r="H473" i="5"/>
  <c r="E473" i="5"/>
  <c r="X473" i="5" s="1"/>
  <c r="F517" i="5"/>
  <c r="R517" i="5"/>
  <c r="H517" i="5"/>
  <c r="E517" i="5"/>
  <c r="X517" i="5" s="1"/>
  <c r="J517" i="5"/>
  <c r="I517" i="5"/>
  <c r="R475" i="5"/>
  <c r="J475" i="5"/>
  <c r="G475" i="5"/>
  <c r="F475" i="5"/>
  <c r="E475" i="5"/>
  <c r="X475" i="5" s="1"/>
  <c r="I475" i="5"/>
  <c r="H475" i="5"/>
  <c r="F525" i="5"/>
  <c r="R525" i="5"/>
  <c r="J525" i="5"/>
  <c r="I525" i="5"/>
  <c r="H525" i="5"/>
  <c r="E525" i="5"/>
  <c r="X525" i="5" s="1"/>
  <c r="F477" i="5"/>
  <c r="R477" i="5"/>
  <c r="J477" i="5"/>
  <c r="I477" i="5"/>
  <c r="H477" i="5"/>
  <c r="E477" i="5"/>
  <c r="X477" i="5" s="1"/>
  <c r="H585" i="5"/>
  <c r="F585" i="5"/>
  <c r="R585" i="5"/>
  <c r="J585" i="5"/>
  <c r="I585" i="5"/>
  <c r="E585" i="5"/>
  <c r="X585" i="5" s="1"/>
  <c r="R346" i="5"/>
  <c r="I346" i="5"/>
  <c r="H346" i="5"/>
  <c r="F346" i="5"/>
  <c r="G346" i="5"/>
  <c r="J346" i="5"/>
  <c r="E346" i="5"/>
  <c r="X346" i="5" s="1"/>
  <c r="R366" i="5"/>
  <c r="I366" i="5"/>
  <c r="H366" i="5"/>
  <c r="F366" i="5"/>
  <c r="J366" i="5"/>
  <c r="E366" i="5"/>
  <c r="X366" i="5" s="1"/>
  <c r="G366" i="5"/>
  <c r="R390" i="5"/>
  <c r="J390" i="5"/>
  <c r="I390" i="5"/>
  <c r="H390" i="5"/>
  <c r="F390" i="5"/>
  <c r="E390" i="5"/>
  <c r="X390" i="5" s="1"/>
  <c r="R386" i="5"/>
  <c r="J386" i="5"/>
  <c r="I386" i="5"/>
  <c r="H386" i="5"/>
  <c r="F386" i="5"/>
  <c r="G386" i="5"/>
  <c r="E386" i="5"/>
  <c r="X386" i="5" s="1"/>
  <c r="E367" i="5"/>
  <c r="X367" i="5" s="1"/>
  <c r="R367" i="5"/>
  <c r="J367" i="5"/>
  <c r="H367" i="5"/>
  <c r="I367" i="5"/>
  <c r="F367" i="5"/>
  <c r="G367" i="5"/>
  <c r="R342" i="5"/>
  <c r="I342" i="5"/>
  <c r="H342" i="5"/>
  <c r="F342" i="5"/>
  <c r="J342" i="5"/>
  <c r="G342" i="5"/>
  <c r="E342" i="5"/>
  <c r="X342" i="5" s="1"/>
  <c r="J296" i="5"/>
  <c r="I296" i="5"/>
  <c r="H296" i="5"/>
  <c r="F296" i="5"/>
  <c r="E296" i="5"/>
  <c r="R296" i="5"/>
  <c r="J288" i="5"/>
  <c r="I288" i="5"/>
  <c r="H288" i="5"/>
  <c r="F288" i="5"/>
  <c r="E288" i="5"/>
  <c r="R288" i="5"/>
  <c r="J280" i="5"/>
  <c r="I280" i="5"/>
  <c r="H280" i="5"/>
  <c r="F280" i="5"/>
  <c r="E280" i="5"/>
  <c r="R280" i="5"/>
  <c r="J272" i="5"/>
  <c r="I272" i="5"/>
  <c r="H272" i="5"/>
  <c r="F272" i="5"/>
  <c r="E272" i="5"/>
  <c r="R272" i="5"/>
  <c r="J264" i="5"/>
  <c r="I264" i="5"/>
  <c r="H264" i="5"/>
  <c r="F264" i="5"/>
  <c r="E264" i="5"/>
  <c r="R264" i="5"/>
  <c r="J256" i="5"/>
  <c r="I256" i="5"/>
  <c r="H256" i="5"/>
  <c r="F256" i="5"/>
  <c r="E256" i="5"/>
  <c r="R256" i="5"/>
  <c r="J248" i="5"/>
  <c r="I248" i="5"/>
  <c r="H248" i="5"/>
  <c r="F248" i="5"/>
  <c r="E248" i="5"/>
  <c r="R248" i="5"/>
  <c r="J240" i="5"/>
  <c r="I240" i="5"/>
  <c r="H240" i="5"/>
  <c r="F240" i="5"/>
  <c r="E240" i="5"/>
  <c r="R240" i="5"/>
  <c r="J232" i="5"/>
  <c r="I232" i="5"/>
  <c r="H232" i="5"/>
  <c r="F232" i="5"/>
  <c r="E232" i="5"/>
  <c r="R232" i="5"/>
  <c r="J224" i="5"/>
  <c r="I224" i="5"/>
  <c r="H224" i="5"/>
  <c r="F224" i="5"/>
  <c r="E224" i="5"/>
  <c r="R224" i="5"/>
  <c r="R382" i="5"/>
  <c r="I382" i="5"/>
  <c r="H382" i="5"/>
  <c r="F382" i="5"/>
  <c r="J382" i="5"/>
  <c r="G382" i="5"/>
  <c r="E382" i="5"/>
  <c r="X382" i="5" s="1"/>
  <c r="E359" i="5"/>
  <c r="X359" i="5" s="1"/>
  <c r="R359" i="5"/>
  <c r="J359" i="5"/>
  <c r="H359" i="5"/>
  <c r="F359" i="5"/>
  <c r="I359" i="5"/>
  <c r="J196" i="5"/>
  <c r="H196" i="5"/>
  <c r="F196" i="5"/>
  <c r="R196" i="5"/>
  <c r="I196" i="5"/>
  <c r="E196" i="5"/>
  <c r="J208" i="5"/>
  <c r="H208" i="5"/>
  <c r="F208" i="5"/>
  <c r="E208" i="5"/>
  <c r="I208" i="5"/>
  <c r="R208" i="5"/>
  <c r="J144" i="5"/>
  <c r="H144" i="5"/>
  <c r="F144" i="5"/>
  <c r="R144" i="5"/>
  <c r="I144" i="5"/>
  <c r="E144" i="5"/>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X603" i="5" s="1"/>
  <c r="R603" i="5"/>
  <c r="J603" i="5"/>
  <c r="I603" i="5"/>
  <c r="H603" i="5"/>
  <c r="F603" i="5"/>
  <c r="H565" i="5"/>
  <c r="F565" i="5"/>
  <c r="R565" i="5"/>
  <c r="J565" i="5"/>
  <c r="I565" i="5"/>
  <c r="E565" i="5"/>
  <c r="X565" i="5" s="1"/>
  <c r="F501" i="5"/>
  <c r="R501" i="5"/>
  <c r="H501" i="5"/>
  <c r="E501" i="5"/>
  <c r="X501" i="5" s="1"/>
  <c r="J501" i="5"/>
  <c r="I501" i="5"/>
  <c r="H557" i="5"/>
  <c r="F557" i="5"/>
  <c r="R557" i="5"/>
  <c r="J557" i="5"/>
  <c r="I557" i="5"/>
  <c r="E557" i="5"/>
  <c r="X557" i="5" s="1"/>
  <c r="I462" i="5"/>
  <c r="R462" i="5"/>
  <c r="J462" i="5"/>
  <c r="H462" i="5"/>
  <c r="F462" i="5"/>
  <c r="E462" i="5"/>
  <c r="X462" i="5" s="1"/>
  <c r="E460" i="5"/>
  <c r="X460" i="5" s="1"/>
  <c r="R460" i="5"/>
  <c r="J460" i="5"/>
  <c r="I460" i="5"/>
  <c r="H460" i="5"/>
  <c r="F460" i="5"/>
  <c r="E375" i="5"/>
  <c r="X375" i="5" s="1"/>
  <c r="R375" i="5"/>
  <c r="J375" i="5"/>
  <c r="H375" i="5"/>
  <c r="I375" i="5"/>
  <c r="G375" i="5"/>
  <c r="F375" i="5"/>
  <c r="J124" i="5"/>
  <c r="H124" i="5"/>
  <c r="F124" i="5"/>
  <c r="R124" i="5"/>
  <c r="I124" i="5"/>
  <c r="E124" i="5"/>
  <c r="A27" i="6"/>
  <c r="B53" i="4"/>
  <c r="A37" i="6" s="1"/>
  <c r="B65" i="4"/>
  <c r="A47" i="6" s="1"/>
  <c r="B71" i="4"/>
  <c r="A52" i="6" s="1"/>
  <c r="B59" i="4"/>
  <c r="A42" i="6" s="1"/>
  <c r="H2463" i="5"/>
  <c r="I2463" i="5"/>
  <c r="F2463" i="5"/>
  <c r="E2463" i="5"/>
  <c r="X2463" i="5" s="1"/>
  <c r="R2463" i="5"/>
  <c r="J2463" i="5"/>
  <c r="F42" i="6"/>
  <c r="H42" i="6" s="1"/>
  <c r="D42" i="6" s="1"/>
  <c r="H27" i="6"/>
  <c r="F68" i="6"/>
  <c r="F32" i="6"/>
  <c r="F52" i="6"/>
  <c r="F47" i="6"/>
  <c r="F37" i="6"/>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X579" i="5" s="1"/>
  <c r="F465" i="5"/>
  <c r="R465" i="5"/>
  <c r="J465" i="5"/>
  <c r="I465" i="5"/>
  <c r="H465" i="5"/>
  <c r="E465" i="5"/>
  <c r="X465" i="5" s="1"/>
  <c r="H561" i="5"/>
  <c r="F561" i="5"/>
  <c r="R561" i="5"/>
  <c r="E561" i="5"/>
  <c r="X561" i="5" s="1"/>
  <c r="J561" i="5"/>
  <c r="I561" i="5"/>
  <c r="H549" i="5"/>
  <c r="F549" i="5"/>
  <c r="R549" i="5"/>
  <c r="I549" i="5"/>
  <c r="E549" i="5"/>
  <c r="X549" i="5" s="1"/>
  <c r="J549" i="5"/>
  <c r="F489" i="5"/>
  <c r="R489" i="5"/>
  <c r="J489" i="5"/>
  <c r="I489" i="5"/>
  <c r="H489" i="5"/>
  <c r="E489" i="5"/>
  <c r="X489" i="5" s="1"/>
  <c r="E434" i="5"/>
  <c r="X434" i="5" s="1"/>
  <c r="R434" i="5"/>
  <c r="J434" i="5"/>
  <c r="I434" i="5"/>
  <c r="H434" i="5"/>
  <c r="G434" i="5"/>
  <c r="F434" i="5"/>
  <c r="E426" i="5"/>
  <c r="X426" i="5" s="1"/>
  <c r="R426" i="5"/>
  <c r="J426" i="5"/>
  <c r="I426" i="5"/>
  <c r="H426" i="5"/>
  <c r="G426" i="5"/>
  <c r="F426" i="5"/>
  <c r="R370" i="5"/>
  <c r="I370" i="5"/>
  <c r="H370" i="5"/>
  <c r="F370" i="5"/>
  <c r="J370" i="5"/>
  <c r="E370" i="5"/>
  <c r="X370" i="5" s="1"/>
  <c r="R358" i="5"/>
  <c r="I358" i="5"/>
  <c r="H358" i="5"/>
  <c r="F358" i="5"/>
  <c r="E358" i="5"/>
  <c r="X358" i="5" s="1"/>
  <c r="J358" i="5"/>
  <c r="A15" i="6"/>
  <c r="B33" i="4"/>
  <c r="A20" i="6" s="1"/>
  <c r="F2406" i="5"/>
  <c r="E2406" i="5"/>
  <c r="X2406" i="5" s="1"/>
  <c r="H2406" i="5"/>
  <c r="R2406" i="5"/>
  <c r="J2406" i="5"/>
  <c r="I2406" i="5"/>
  <c r="J2440" i="5"/>
  <c r="R2440" i="5"/>
  <c r="I2440" i="5"/>
  <c r="E2440" i="5"/>
  <c r="X2440" i="5" s="1"/>
  <c r="H2440" i="5"/>
  <c r="G2440" i="5"/>
  <c r="F2440" i="5"/>
  <c r="H22" i="6"/>
  <c r="K68" i="6" s="1"/>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X609" i="5" s="1"/>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X607" i="5" s="1"/>
  <c r="R607" i="5"/>
  <c r="J607" i="5"/>
  <c r="I607" i="5"/>
  <c r="H607" i="5"/>
  <c r="F607" i="5"/>
  <c r="E599" i="5"/>
  <c r="X599" i="5" s="1"/>
  <c r="R599" i="5"/>
  <c r="J599" i="5"/>
  <c r="I599" i="5"/>
  <c r="H599" i="5"/>
  <c r="F599" i="5"/>
  <c r="G545" i="5"/>
  <c r="F513" i="5"/>
  <c r="R513" i="5"/>
  <c r="J513" i="5"/>
  <c r="I513" i="5"/>
  <c r="H513" i="5"/>
  <c r="E513" i="5"/>
  <c r="X513" i="5" s="1"/>
  <c r="G473" i="5"/>
  <c r="G517" i="5"/>
  <c r="J554" i="5"/>
  <c r="I554" i="5"/>
  <c r="H554" i="5"/>
  <c r="E554" i="5"/>
  <c r="X554" i="5" s="1"/>
  <c r="R554" i="5"/>
  <c r="F554" i="5"/>
  <c r="H581" i="5"/>
  <c r="F581" i="5"/>
  <c r="R581" i="5"/>
  <c r="J581" i="5"/>
  <c r="I581" i="5"/>
  <c r="E581" i="5"/>
  <c r="X581" i="5" s="1"/>
  <c r="F505" i="5"/>
  <c r="R505" i="5"/>
  <c r="J505" i="5"/>
  <c r="I505" i="5"/>
  <c r="H505" i="5"/>
  <c r="E505" i="5"/>
  <c r="X505" i="5" s="1"/>
  <c r="G525" i="5"/>
  <c r="G477" i="5"/>
  <c r="I597" i="5"/>
  <c r="H597" i="5"/>
  <c r="F597" i="5"/>
  <c r="R597" i="5"/>
  <c r="J597" i="5"/>
  <c r="E597" i="5"/>
  <c r="X597" i="5" s="1"/>
  <c r="G585" i="5"/>
  <c r="G518" i="5"/>
  <c r="G390" i="5"/>
  <c r="R354" i="5"/>
  <c r="I354" i="5"/>
  <c r="H354" i="5"/>
  <c r="F354" i="5"/>
  <c r="E354" i="5"/>
  <c r="X354" i="5" s="1"/>
  <c r="J354" i="5"/>
  <c r="G288" i="5"/>
  <c r="G256" i="5"/>
  <c r="G224" i="5"/>
  <c r="E316" i="5"/>
  <c r="X316" i="5" s="1"/>
  <c r="J316" i="5"/>
  <c r="R316" i="5"/>
  <c r="H316" i="5"/>
  <c r="G316" i="5"/>
  <c r="F316" i="5"/>
  <c r="I316" i="5"/>
  <c r="G196" i="5"/>
  <c r="G208" i="5"/>
  <c r="J172" i="5"/>
  <c r="H172" i="5"/>
  <c r="F172" i="5"/>
  <c r="I172" i="5"/>
  <c r="E172" i="5"/>
  <c r="R172" i="5"/>
  <c r="J160" i="5"/>
  <c r="H160" i="5"/>
  <c r="F160" i="5"/>
  <c r="R160" i="5"/>
  <c r="I160" i="5"/>
  <c r="E160" i="5"/>
  <c r="J180" i="5"/>
  <c r="H180" i="5"/>
  <c r="F180" i="5"/>
  <c r="R180" i="5"/>
  <c r="I180" i="5"/>
  <c r="E180" i="5"/>
  <c r="J200" i="5"/>
  <c r="H200" i="5"/>
  <c r="F200" i="5"/>
  <c r="R200" i="5"/>
  <c r="I200" i="5"/>
  <c r="E200" i="5"/>
  <c r="J156" i="5"/>
  <c r="H156" i="5"/>
  <c r="F156" i="5"/>
  <c r="R156" i="5"/>
  <c r="I156" i="5"/>
  <c r="E156" i="5"/>
  <c r="G144" i="5"/>
  <c r="E308" i="5"/>
  <c r="J308" i="5"/>
  <c r="R308" i="5"/>
  <c r="H308" i="5"/>
  <c r="G308" i="5"/>
  <c r="F308" i="5"/>
  <c r="I308" i="5"/>
  <c r="J100" i="5"/>
  <c r="H100" i="5"/>
  <c r="F100" i="5"/>
  <c r="E100" i="5"/>
  <c r="R100" i="5"/>
  <c r="I100" i="5"/>
  <c r="G100" i="5"/>
  <c r="E312" i="5"/>
  <c r="X312" i="5" s="1"/>
  <c r="J312" i="5"/>
  <c r="F312" i="5"/>
  <c r="R312" i="5"/>
  <c r="I312" i="5"/>
  <c r="H312" i="5"/>
  <c r="J188" i="5"/>
  <c r="H188" i="5"/>
  <c r="F188" i="5"/>
  <c r="R188" i="5"/>
  <c r="I188" i="5"/>
  <c r="E188" i="5"/>
  <c r="C16" i="6"/>
  <c r="K67"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X497" i="5" s="1"/>
  <c r="E458" i="5"/>
  <c r="X458" i="5" s="1"/>
  <c r="R458" i="5"/>
  <c r="J458" i="5"/>
  <c r="I458" i="5"/>
  <c r="H458" i="5"/>
  <c r="G458" i="5"/>
  <c r="F458" i="5"/>
  <c r="E450" i="5"/>
  <c r="X450" i="5" s="1"/>
  <c r="R450" i="5"/>
  <c r="J450" i="5"/>
  <c r="I450" i="5"/>
  <c r="H450" i="5"/>
  <c r="G450" i="5"/>
  <c r="F450" i="5"/>
  <c r="E418" i="5"/>
  <c r="X418" i="5" s="1"/>
  <c r="R418" i="5"/>
  <c r="J418" i="5"/>
  <c r="I418" i="5"/>
  <c r="H418" i="5"/>
  <c r="G418" i="5"/>
  <c r="F418" i="5"/>
  <c r="R406" i="5"/>
  <c r="J406" i="5"/>
  <c r="I406" i="5"/>
  <c r="H406" i="5"/>
  <c r="F406" i="5"/>
  <c r="E406" i="5"/>
  <c r="X406" i="5" s="1"/>
  <c r="J148" i="5"/>
  <c r="H148" i="5"/>
  <c r="F148" i="5"/>
  <c r="R148" i="5"/>
  <c r="I148" i="5"/>
  <c r="E148" i="5"/>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X587" i="5" s="1"/>
  <c r="I587" i="5"/>
  <c r="R571" i="5"/>
  <c r="J571" i="5"/>
  <c r="F571" i="5"/>
  <c r="I571" i="5"/>
  <c r="H571" i="5"/>
  <c r="E571" i="5"/>
  <c r="X571" i="5" s="1"/>
  <c r="H589" i="5"/>
  <c r="F589" i="5"/>
  <c r="R589" i="5"/>
  <c r="J589" i="5"/>
  <c r="I589" i="5"/>
  <c r="E589" i="5"/>
  <c r="X589" i="5" s="1"/>
  <c r="F485" i="5"/>
  <c r="R485" i="5"/>
  <c r="H485" i="5"/>
  <c r="E485" i="5"/>
  <c r="X485" i="5" s="1"/>
  <c r="J485" i="5"/>
  <c r="I485" i="5"/>
  <c r="G460" i="5"/>
  <c r="H553" i="5"/>
  <c r="F553" i="5"/>
  <c r="R553" i="5"/>
  <c r="J553" i="5"/>
  <c r="I553" i="5"/>
  <c r="E553" i="5"/>
  <c r="X553" i="5" s="1"/>
  <c r="E454" i="5"/>
  <c r="X454" i="5" s="1"/>
  <c r="R454" i="5"/>
  <c r="J454" i="5"/>
  <c r="I454" i="5"/>
  <c r="H454" i="5"/>
  <c r="G454" i="5"/>
  <c r="F454" i="5"/>
  <c r="E446" i="5"/>
  <c r="X446" i="5" s="1"/>
  <c r="R446" i="5"/>
  <c r="J446" i="5"/>
  <c r="I446" i="5"/>
  <c r="H446" i="5"/>
  <c r="G446" i="5"/>
  <c r="F446" i="5"/>
  <c r="E438" i="5"/>
  <c r="X438" i="5" s="1"/>
  <c r="R438" i="5"/>
  <c r="J438" i="5"/>
  <c r="I438" i="5"/>
  <c r="H438" i="5"/>
  <c r="G438" i="5"/>
  <c r="F438" i="5"/>
  <c r="E430" i="5"/>
  <c r="X430" i="5" s="1"/>
  <c r="R430" i="5"/>
  <c r="J430" i="5"/>
  <c r="I430" i="5"/>
  <c r="H430" i="5"/>
  <c r="G430" i="5"/>
  <c r="F430" i="5"/>
  <c r="E422" i="5"/>
  <c r="X422" i="5" s="1"/>
  <c r="R422" i="5"/>
  <c r="J422" i="5"/>
  <c r="I422" i="5"/>
  <c r="H422" i="5"/>
  <c r="G422" i="5"/>
  <c r="F422" i="5"/>
  <c r="E414" i="5"/>
  <c r="X414" i="5" s="1"/>
  <c r="R414" i="5"/>
  <c r="J414" i="5"/>
  <c r="I414" i="5"/>
  <c r="H414" i="5"/>
  <c r="F414" i="5"/>
  <c r="G414" i="5"/>
  <c r="J164" i="5"/>
  <c r="H164" i="5"/>
  <c r="F164" i="5"/>
  <c r="R164" i="5"/>
  <c r="I164" i="5"/>
  <c r="E164" i="5"/>
  <c r="E339" i="5"/>
  <c r="X339" i="5" s="1"/>
  <c r="R339" i="5"/>
  <c r="H339" i="5"/>
  <c r="F339" i="5"/>
  <c r="J339" i="5"/>
  <c r="I339" i="5"/>
  <c r="J152" i="5"/>
  <c r="H152" i="5"/>
  <c r="F152" i="5"/>
  <c r="E152" i="5"/>
  <c r="R152" i="5"/>
  <c r="I152" i="5"/>
  <c r="J212" i="5"/>
  <c r="I212" i="5"/>
  <c r="H212" i="5"/>
  <c r="F212" i="5"/>
  <c r="E212" i="5"/>
  <c r="R212" i="5"/>
  <c r="J168" i="5"/>
  <c r="H168" i="5"/>
  <c r="F168" i="5"/>
  <c r="R168" i="5"/>
  <c r="I168" i="5"/>
  <c r="E168" i="5"/>
  <c r="A16" i="6"/>
  <c r="B34" i="4"/>
  <c r="A21" i="6" s="1"/>
  <c r="F44" i="6"/>
  <c r="H44" i="6" s="1"/>
  <c r="D44" i="6" s="1"/>
  <c r="F34" i="6"/>
  <c r="F39" i="6"/>
  <c r="H39" i="6" s="1"/>
  <c r="D39" i="6" s="1"/>
  <c r="F54" i="6"/>
  <c r="F65" i="6"/>
  <c r="F49" i="6"/>
  <c r="F29" i="6"/>
  <c r="H29" i="6" s="1"/>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X593" i="5" s="1"/>
  <c r="F481" i="5"/>
  <c r="R481" i="5"/>
  <c r="J481" i="5"/>
  <c r="I481" i="5"/>
  <c r="H481" i="5"/>
  <c r="E481" i="5"/>
  <c r="X481" i="5" s="1"/>
  <c r="G589" i="5"/>
  <c r="F533" i="5"/>
  <c r="R533" i="5"/>
  <c r="H533" i="5"/>
  <c r="E533" i="5"/>
  <c r="X533" i="5" s="1"/>
  <c r="J533" i="5"/>
  <c r="I533" i="5"/>
  <c r="G485" i="5"/>
  <c r="H569" i="5"/>
  <c r="F569" i="5"/>
  <c r="R569" i="5"/>
  <c r="J569" i="5"/>
  <c r="I569" i="5"/>
  <c r="E569" i="5"/>
  <c r="X569" i="5" s="1"/>
  <c r="H573" i="5"/>
  <c r="F573" i="5"/>
  <c r="R573" i="5"/>
  <c r="J573" i="5"/>
  <c r="I573" i="5"/>
  <c r="E573" i="5"/>
  <c r="X573" i="5" s="1"/>
  <c r="I474" i="5"/>
  <c r="H474" i="5"/>
  <c r="R474" i="5"/>
  <c r="J474" i="5"/>
  <c r="F474" i="5"/>
  <c r="E474" i="5"/>
  <c r="X474" i="5" s="1"/>
  <c r="G553" i="5"/>
  <c r="G296" i="5"/>
  <c r="G264" i="5"/>
  <c r="G232" i="5"/>
  <c r="R350" i="5"/>
  <c r="I350" i="5"/>
  <c r="H350" i="5"/>
  <c r="F350" i="5"/>
  <c r="J350" i="5"/>
  <c r="E350" i="5"/>
  <c r="X350" i="5" s="1"/>
  <c r="G164" i="5"/>
  <c r="G152" i="5"/>
  <c r="J108" i="5"/>
  <c r="H108" i="5"/>
  <c r="F108" i="5"/>
  <c r="I108" i="5"/>
  <c r="E108" i="5"/>
  <c r="R108" i="5"/>
  <c r="G212" i="5"/>
  <c r="J128" i="5"/>
  <c r="H128" i="5"/>
  <c r="F128" i="5"/>
  <c r="R128" i="5"/>
  <c r="I128" i="5"/>
  <c r="E128" i="5"/>
  <c r="G168" i="5"/>
  <c r="J136" i="5"/>
  <c r="T136" i="5" s="1"/>
  <c r="H136" i="5"/>
  <c r="R136" i="5"/>
  <c r="I136" i="5"/>
  <c r="E320" i="5"/>
  <c r="X320" i="5" s="1"/>
  <c r="J320" i="5"/>
  <c r="F320" i="5"/>
  <c r="R320" i="5"/>
  <c r="I320" i="5"/>
  <c r="H320" i="5"/>
  <c r="J112" i="5"/>
  <c r="H112" i="5"/>
  <c r="F112" i="5"/>
  <c r="R112" i="5"/>
  <c r="I112" i="5"/>
  <c r="E112" i="5"/>
  <c r="S58" i="5"/>
  <c r="S28" i="5"/>
  <c r="T179" i="5"/>
  <c r="T21" i="5"/>
  <c r="T51" i="5"/>
  <c r="T75" i="5"/>
  <c r="T99" i="5"/>
  <c r="T153" i="5"/>
  <c r="S27" i="5"/>
  <c r="T77" i="5"/>
  <c r="T31" i="5"/>
  <c r="T65" i="5"/>
  <c r="T34" i="5"/>
  <c r="T66" i="5"/>
  <c r="T98" i="5"/>
  <c r="T310" i="5"/>
  <c r="S179" i="5"/>
  <c r="T139" i="5"/>
  <c r="T119" i="5"/>
  <c r="S213" i="5"/>
  <c r="T115" i="5"/>
  <c r="T107" i="5"/>
  <c r="T203" i="5"/>
  <c r="S74" i="5"/>
  <c r="S105" i="5"/>
  <c r="T29" i="5"/>
  <c r="S51" i="5"/>
  <c r="S75" i="5"/>
  <c r="S99" i="5"/>
  <c r="S203" i="5"/>
  <c r="T111" i="5"/>
  <c r="T158" i="5"/>
  <c r="T242" i="5"/>
  <c r="T294" i="5"/>
  <c r="T142" i="5"/>
  <c r="T49" i="5"/>
  <c r="S73" i="5"/>
  <c r="S113" i="5"/>
  <c r="S41" i="5"/>
  <c r="S85" i="5"/>
  <c r="T167" i="5"/>
  <c r="S291" i="5"/>
  <c r="T289" i="5"/>
  <c r="S42" i="5"/>
  <c r="T267" i="5"/>
  <c r="S210" i="5"/>
  <c r="S127" i="5"/>
  <c r="T35" i="5"/>
  <c r="T59" i="5"/>
  <c r="T79" i="5"/>
  <c r="T109" i="5"/>
  <c r="T183" i="5"/>
  <c r="S111" i="5"/>
  <c r="T84" i="5"/>
  <c r="T36" i="5"/>
  <c r="S77" i="5"/>
  <c r="T42" i="5"/>
  <c r="T74" i="5"/>
  <c r="T199" i="5"/>
  <c r="S257" i="5"/>
  <c r="S169" i="5"/>
  <c r="S161" i="5"/>
  <c r="S183" i="5"/>
  <c r="T19" i="5"/>
  <c r="T129" i="5"/>
  <c r="S129" i="5"/>
  <c r="S119" i="5"/>
  <c r="S237" i="5"/>
  <c r="S137" i="5"/>
  <c r="S35" i="5"/>
  <c r="S59" i="5"/>
  <c r="S79" i="5"/>
  <c r="S107" i="5"/>
  <c r="T131" i="5"/>
  <c r="S143" i="5"/>
  <c r="T202" i="5"/>
  <c r="T274" i="5"/>
  <c r="T307" i="5"/>
  <c r="S175" i="5"/>
  <c r="T53" i="5"/>
  <c r="T85" i="5"/>
  <c r="T154" i="5"/>
  <c r="T52" i="5"/>
  <c r="T46" i="5"/>
  <c r="T209" i="5"/>
  <c r="T233" i="5"/>
  <c r="T5" i="5"/>
  <c r="T138" i="5"/>
  <c r="S185" i="5"/>
  <c r="S101" i="5"/>
  <c r="T96" i="5"/>
  <c r="S33" i="5"/>
  <c r="T122" i="5"/>
  <c r="S103" i="5"/>
  <c r="S219" i="5"/>
  <c r="T259" i="5"/>
  <c r="T253" i="5"/>
  <c r="T146" i="5"/>
  <c r="T130" i="5"/>
  <c r="S19" i="5"/>
  <c r="S31" i="5"/>
  <c r="S53" i="5"/>
  <c r="T76" i="5"/>
  <c r="T37" i="5"/>
  <c r="T125" i="5"/>
  <c r="T117" i="5"/>
  <c r="S157" i="5"/>
  <c r="T230" i="5"/>
  <c r="T257" i="5"/>
  <c r="T254" i="5"/>
  <c r="T126" i="5"/>
  <c r="S45" i="5"/>
  <c r="S123" i="5"/>
  <c r="T189" i="5"/>
  <c r="T282" i="5"/>
  <c r="T80" i="5"/>
  <c r="T169" i="5"/>
  <c r="S231" i="5"/>
  <c r="S259" i="5"/>
  <c r="S295" i="5"/>
  <c r="T239" i="5"/>
  <c r="T271" i="5"/>
  <c r="T229" i="5"/>
  <c r="T302" i="5"/>
  <c r="T50" i="5"/>
  <c r="T82" i="5"/>
  <c r="T295" i="5"/>
  <c r="S150" i="5"/>
  <c r="T159" i="5"/>
  <c r="S171" i="5"/>
  <c r="T28" i="5"/>
  <c r="S18" i="5"/>
  <c r="S159" i="5"/>
  <c r="S139" i="5"/>
  <c r="T185" i="5"/>
  <c r="S289" i="5"/>
  <c r="T127" i="5"/>
  <c r="S39" i="5"/>
  <c r="S63" i="5"/>
  <c r="S83" i="5"/>
  <c r="T141" i="5"/>
  <c r="T121" i="5"/>
  <c r="T177" i="5"/>
  <c r="T210" i="5"/>
  <c r="T182" i="5"/>
  <c r="T24" i="5"/>
  <c r="T25" i="5"/>
  <c r="T57" i="5"/>
  <c r="T92" i="5"/>
  <c r="T157" i="5"/>
  <c r="T68" i="5"/>
  <c r="T78" i="5"/>
  <c r="T217" i="5"/>
  <c r="T249" i="5"/>
  <c r="T234" i="5"/>
  <c r="T170" i="5"/>
  <c r="T195" i="5"/>
  <c r="S133" i="5"/>
  <c r="T187" i="5"/>
  <c r="T45" i="5"/>
  <c r="T137" i="5"/>
  <c r="S135" i="5"/>
  <c r="T215" i="5"/>
  <c r="T275" i="5"/>
  <c r="T269" i="5"/>
  <c r="T218" i="5"/>
  <c r="S195" i="5"/>
  <c r="T22" i="5"/>
  <c r="S25" i="5"/>
  <c r="S57" i="5"/>
  <c r="S94" i="5"/>
  <c r="S55" i="5"/>
  <c r="S170" i="5"/>
  <c r="T161" i="5"/>
  <c r="T39" i="5"/>
  <c r="T63" i="5"/>
  <c r="T83" i="5"/>
  <c r="T171" i="5"/>
  <c r="S131" i="5"/>
  <c r="T145" i="5"/>
  <c r="S145" i="5"/>
  <c r="S49" i="5"/>
  <c r="T89" i="5"/>
  <c r="S190" i="5"/>
  <c r="S225" i="5"/>
  <c r="T18" i="5"/>
  <c r="T47" i="5"/>
  <c r="T67" i="5"/>
  <c r="T95" i="5"/>
  <c r="T205" i="5"/>
  <c r="T197" i="5"/>
  <c r="T41" i="5"/>
  <c r="S187" i="5"/>
  <c r="T60" i="5"/>
  <c r="S97" i="5"/>
  <c r="T304" i="5"/>
  <c r="S23" i="5"/>
  <c r="S115" i="5"/>
  <c r="S95" i="5"/>
  <c r="T221" i="5"/>
  <c r="S65" i="5"/>
  <c r="T135" i="5"/>
  <c r="T106" i="5"/>
  <c r="T27" i="5"/>
  <c r="T298" i="5"/>
  <c r="T70" i="5"/>
  <c r="T235" i="5"/>
  <c r="T309" i="5"/>
  <c r="T278" i="5"/>
  <c r="T40" i="5"/>
  <c r="T123" i="5"/>
  <c r="T88" i="5"/>
  <c r="S125" i="5"/>
  <c r="T181" i="5"/>
  <c r="T241" i="5"/>
  <c r="T114" i="5"/>
  <c r="T213" i="5"/>
  <c r="T105" i="5"/>
  <c r="T214" i="5"/>
  <c r="T64" i="5"/>
  <c r="T86" i="5"/>
  <c r="S235" i="5"/>
  <c r="S271" i="5"/>
  <c r="T231" i="5"/>
  <c r="T283" i="5"/>
  <c r="T261" i="5"/>
  <c r="S155" i="5"/>
  <c r="T226" i="5"/>
  <c r="T69" i="5"/>
  <c r="S199" i="5"/>
  <c r="S247" i="5"/>
  <c r="S275" i="5"/>
  <c r="T247" i="5"/>
  <c r="T291" i="5"/>
  <c r="T285" i="5"/>
  <c r="S47" i="5"/>
  <c r="T30" i="5"/>
  <c r="T32" i="5"/>
  <c r="T48" i="5"/>
  <c r="T198" i="5"/>
  <c r="T258" i="5"/>
  <c r="S69" i="5"/>
  <c r="T219" i="5"/>
  <c r="T311" i="5"/>
  <c r="S177" i="5"/>
  <c r="T250" i="5"/>
  <c r="S223" i="5"/>
  <c r="S255" i="5"/>
  <c r="S304" i="5"/>
  <c r="T101" i="5"/>
  <c r="T133" i="5"/>
  <c r="S67" i="5"/>
  <c r="T73" i="5"/>
  <c r="T286" i="5"/>
  <c r="T266" i="5"/>
  <c r="T227" i="5"/>
  <c r="T222" i="5"/>
  <c r="S89" i="5"/>
  <c r="T102" i="5"/>
  <c r="T225" i="5"/>
  <c r="T162" i="5"/>
  <c r="T186" i="5"/>
  <c r="T54" i="5"/>
  <c r="S263" i="5"/>
  <c r="T223" i="5"/>
  <c r="T245" i="5"/>
  <c r="T58" i="5"/>
  <c r="T190" i="5"/>
  <c r="T193" i="5"/>
  <c r="T26" i="5"/>
  <c r="S193" i="5"/>
  <c r="T262" i="5"/>
  <c r="T97" i="5"/>
  <c r="S283" i="5"/>
  <c r="T118" i="5"/>
  <c r="T174" i="5"/>
  <c r="T61" i="5"/>
  <c r="S167" i="5"/>
  <c r="T299" i="5"/>
  <c r="T238" i="5"/>
  <c r="T113" i="5"/>
  <c r="S61" i="5"/>
  <c r="T155" i="5"/>
  <c r="T62" i="5"/>
  <c r="T134" i="5"/>
  <c r="S189" i="5"/>
  <c r="T273" i="5"/>
  <c r="T178" i="5"/>
  <c r="T20" i="5"/>
  <c r="T90" i="5"/>
  <c r="T23" i="5"/>
  <c r="T173" i="5"/>
  <c r="T150" i="5"/>
  <c r="T110" i="5"/>
  <c r="T265" i="5"/>
  <c r="T72" i="5"/>
  <c r="T237" i="5"/>
  <c r="T143" i="5"/>
  <c r="T44" i="5"/>
  <c r="T94" i="5"/>
  <c r="T149" i="5"/>
  <c r="T301" i="5"/>
  <c r="S81" i="5"/>
  <c r="S93" i="5"/>
  <c r="S299" i="5"/>
  <c r="T255" i="5"/>
  <c r="T201" i="5"/>
  <c r="S302" i="5"/>
  <c r="T270" i="5"/>
  <c r="S37" i="5"/>
  <c r="T206" i="5"/>
  <c r="T38" i="5"/>
  <c r="T297" i="5"/>
  <c r="T33" i="5"/>
  <c r="T81" i="5"/>
  <c r="T166" i="5"/>
  <c r="T6" i="5"/>
  <c r="T93" i="5"/>
  <c r="T56" i="5"/>
  <c r="S227" i="5"/>
  <c r="T263" i="5"/>
  <c r="S246" i="5"/>
  <c r="S84" i="5"/>
  <c r="S92" i="5"/>
  <c r="S109" i="5"/>
  <c r="S205" i="5"/>
  <c r="S309" i="5"/>
  <c r="S242" i="5"/>
  <c r="S218" i="5"/>
  <c r="T303" i="5"/>
  <c r="T292" i="5"/>
  <c r="T280" i="5"/>
  <c r="S100" i="5"/>
  <c r="T128" i="5"/>
  <c r="S310" i="5"/>
  <c r="S21" i="5"/>
  <c r="S146" i="5"/>
  <c r="S285" i="5"/>
  <c r="S24" i="5"/>
  <c r="S182" i="5"/>
  <c r="S78" i="5"/>
  <c r="T191" i="5"/>
  <c r="T116" i="5"/>
  <c r="T140" i="5"/>
  <c r="T200" i="5"/>
  <c r="T168" i="5"/>
  <c r="T308" i="5"/>
  <c r="S40" i="5"/>
  <c r="S48" i="5"/>
  <c r="S88" i="5"/>
  <c r="S294" i="5"/>
  <c r="S217" i="5"/>
  <c r="S26" i="5"/>
  <c r="S90" i="5"/>
  <c r="S253" i="5"/>
  <c r="T243" i="5"/>
  <c r="T300" i="5"/>
  <c r="T236" i="5"/>
  <c r="T256" i="5"/>
  <c r="T156" i="5"/>
  <c r="S22" i="5"/>
  <c r="S162" i="5"/>
  <c r="S286" i="5"/>
  <c r="S254" i="5"/>
  <c r="S249" i="5"/>
  <c r="T91" i="5"/>
  <c r="T192" i="5"/>
  <c r="S6" i="5"/>
  <c r="S165" i="5"/>
  <c r="S52" i="5"/>
  <c r="S60" i="5"/>
  <c r="S221" i="5"/>
  <c r="S34" i="5"/>
  <c r="S138" i="5"/>
  <c r="S202" i="5"/>
  <c r="S174" i="5"/>
  <c r="T175" i="5"/>
  <c r="T260" i="5"/>
  <c r="T264" i="5"/>
  <c r="T148" i="5"/>
  <c r="T104" i="5"/>
  <c r="S76" i="5"/>
  <c r="S197" i="5"/>
  <c r="S38" i="5"/>
  <c r="S70" i="5"/>
  <c r="S233" i="5"/>
  <c r="S149" i="5"/>
  <c r="T207" i="5"/>
  <c r="T43" i="5"/>
  <c r="T184" i="5"/>
  <c r="T196" i="5"/>
  <c r="T100" i="5"/>
  <c r="T112" i="5"/>
  <c r="S141" i="5"/>
  <c r="S186" i="5"/>
  <c r="S282" i="5"/>
  <c r="S56" i="5"/>
  <c r="S290" i="5"/>
  <c r="S273" i="5"/>
  <c r="S46" i="5"/>
  <c r="S214" i="5"/>
  <c r="S178" i="5"/>
  <c r="T103" i="5"/>
  <c r="T284" i="5"/>
  <c r="T132" i="5"/>
  <c r="T240" i="5"/>
  <c r="T108" i="5"/>
  <c r="S266" i="5"/>
  <c r="S209" i="5"/>
  <c r="S181" i="5"/>
  <c r="S114" i="5"/>
  <c r="S245" i="5"/>
  <c r="T279" i="5"/>
  <c r="T124" i="5"/>
  <c r="S267" i="5"/>
  <c r="S117" i="5"/>
  <c r="S250" i="5"/>
  <c r="S20" i="5"/>
  <c r="T281" i="5"/>
  <c r="T305" i="5"/>
  <c r="T232" i="5"/>
  <c r="T212" i="5"/>
  <c r="S118" i="5"/>
  <c r="S166" i="5"/>
  <c r="S265" i="5"/>
  <c r="T216" i="5"/>
  <c r="T152" i="5"/>
  <c r="S72" i="5"/>
  <c r="S173" i="5"/>
  <c r="S110" i="5"/>
  <c r="S274" i="5"/>
  <c r="T151" i="5"/>
  <c r="T272" i="5"/>
  <c r="S64" i="5"/>
  <c r="S66" i="5"/>
  <c r="S262" i="5"/>
  <c r="S147" i="5"/>
  <c r="S29" i="5"/>
  <c r="S30" i="5"/>
  <c r="S68" i="5"/>
  <c r="S229" i="5"/>
  <c r="S198" i="5"/>
  <c r="S62" i="5"/>
  <c r="S98" i="5"/>
  <c r="T290" i="5"/>
  <c r="T228" i="5"/>
  <c r="T248" i="5"/>
  <c r="S5" i="5"/>
  <c r="T180" i="5"/>
  <c r="S44" i="5"/>
  <c r="S206" i="5"/>
  <c r="S258" i="5"/>
  <c r="S301" i="5"/>
  <c r="S50" i="5"/>
  <c r="S270" i="5"/>
  <c r="T71" i="5"/>
  <c r="T251" i="5"/>
  <c r="T220" i="5"/>
  <c r="T144" i="5"/>
  <c r="T164" i="5"/>
  <c r="T204" i="5"/>
  <c r="S307" i="5"/>
  <c r="S122" i="5"/>
  <c r="S153" i="5"/>
  <c r="S121" i="5"/>
  <c r="S241" i="5"/>
  <c r="S82" i="5"/>
  <c r="S238" i="5"/>
  <c r="S32" i="5"/>
  <c r="T293" i="5"/>
  <c r="T163" i="5"/>
  <c r="T268" i="5"/>
  <c r="T288" i="5"/>
  <c r="T224" i="5"/>
  <c r="S96" i="5"/>
  <c r="S278" i="5"/>
  <c r="S226" i="5"/>
  <c r="S234" i="5"/>
  <c r="S54" i="5"/>
  <c r="T277" i="5"/>
  <c r="T287" i="5"/>
  <c r="T172" i="5"/>
  <c r="S154" i="5"/>
  <c r="S36" i="5"/>
  <c r="S134" i="5"/>
  <c r="S158" i="5"/>
  <c r="T296" i="5"/>
  <c r="T188" i="5"/>
  <c r="S298" i="5"/>
  <c r="S311" i="5"/>
  <c r="S130" i="5"/>
  <c r="T194" i="5"/>
  <c r="T211" i="5"/>
  <c r="T160" i="5"/>
  <c r="T208" i="5"/>
  <c r="S80" i="5"/>
  <c r="S230" i="5"/>
  <c r="S126" i="5"/>
  <c r="S142" i="5"/>
  <c r="T87" i="5"/>
  <c r="T252" i="5"/>
  <c r="T120" i="5"/>
  <c r="S222" i="5"/>
  <c r="S86" i="5"/>
  <c r="T306" i="5"/>
  <c r="T176" i="5"/>
  <c r="X108" i="5" l="1"/>
  <c r="X305" i="5"/>
  <c r="X277" i="5"/>
  <c r="X261" i="5"/>
  <c r="X293" i="5"/>
  <c r="X297" i="5"/>
  <c r="X239" i="5"/>
  <c r="X207" i="5"/>
  <c r="X71" i="5"/>
  <c r="X194" i="5"/>
  <c r="X306" i="5"/>
  <c r="X188" i="5"/>
  <c r="X144" i="5"/>
  <c r="X208" i="5"/>
  <c r="X196" i="5"/>
  <c r="X224" i="5"/>
  <c r="X240" i="5"/>
  <c r="X256" i="5"/>
  <c r="X272" i="5"/>
  <c r="X288" i="5"/>
  <c r="X120" i="5"/>
  <c r="X116" i="5"/>
  <c r="X236" i="5"/>
  <c r="X252" i="5"/>
  <c r="X268" i="5"/>
  <c r="X284" i="5"/>
  <c r="X300" i="5"/>
  <c r="X287" i="5"/>
  <c r="X212" i="5"/>
  <c r="X172" i="5"/>
  <c r="X132" i="5"/>
  <c r="X112" i="5"/>
  <c r="X136" i="5"/>
  <c r="X164" i="5"/>
  <c r="X148" i="5"/>
  <c r="X140" i="5"/>
  <c r="X216" i="5"/>
  <c r="X220" i="5"/>
  <c r="X151" i="5"/>
  <c r="X279" i="5"/>
  <c r="X163" i="5"/>
  <c r="X91" i="5"/>
  <c r="X102" i="5"/>
  <c r="X281" i="5"/>
  <c r="X128" i="5"/>
  <c r="X204" i="5"/>
  <c r="X168" i="5"/>
  <c r="X308" i="5"/>
  <c r="X200" i="5"/>
  <c r="X160" i="5"/>
  <c r="X152" i="5"/>
  <c r="X156" i="5"/>
  <c r="X180" i="5"/>
  <c r="X124" i="5"/>
  <c r="X232" i="5"/>
  <c r="X248" i="5"/>
  <c r="X264" i="5"/>
  <c r="X280" i="5"/>
  <c r="X296" i="5"/>
  <c r="X192" i="5"/>
  <c r="X176" i="5"/>
  <c r="X184" i="5"/>
  <c r="X104" i="5"/>
  <c r="X228" i="5"/>
  <c r="X244" i="5"/>
  <c r="X260" i="5"/>
  <c r="X276" i="5"/>
  <c r="X292" i="5"/>
  <c r="X303" i="5"/>
  <c r="X211" i="5"/>
  <c r="X251" i="5"/>
  <c r="X43" i="5"/>
  <c r="X191" i="5"/>
  <c r="X243" i="5"/>
  <c r="X215" i="5"/>
  <c r="X201" i="5"/>
  <c r="X87" i="5"/>
  <c r="H37" i="6"/>
  <c r="D37" i="6" s="1"/>
  <c r="H50" i="6"/>
  <c r="D50" i="6" s="1"/>
  <c r="H41" i="6"/>
  <c r="D41" i="6" s="1"/>
  <c r="H52" i="6"/>
  <c r="D52" i="6" s="1"/>
  <c r="H46" i="6"/>
  <c r="D46" i="6" s="1"/>
  <c r="H31" i="6"/>
  <c r="C31" i="6" s="1"/>
  <c r="C29" i="6"/>
  <c r="D29" i="6"/>
  <c r="H30" i="6"/>
  <c r="G68" i="6"/>
  <c r="H68" i="6" s="1"/>
  <c r="D68" i="6" s="1"/>
  <c r="AB12" i="5"/>
  <c r="V12" i="5"/>
  <c r="G12" i="5" s="1"/>
  <c r="V16" i="5"/>
  <c r="G16" i="5" s="1"/>
  <c r="V14" i="5"/>
  <c r="G14" i="5" s="1"/>
  <c r="AB9" i="5"/>
  <c r="AB10" i="5"/>
  <c r="V11" i="5"/>
  <c r="G11" i="5" s="1"/>
  <c r="AB14" i="5"/>
  <c r="AB17" i="5"/>
  <c r="V10" i="5"/>
  <c r="AB16" i="5"/>
  <c r="AB8" i="5"/>
  <c r="V9" i="5"/>
  <c r="AB13" i="5"/>
  <c r="AB15" i="5"/>
  <c r="V8" i="5"/>
  <c r="AB11" i="5"/>
  <c r="V17" i="5"/>
  <c r="G17" i="5" s="1"/>
  <c r="V15" i="5"/>
  <c r="G15" i="5" s="1"/>
  <c r="AB7" i="5"/>
  <c r="V13" i="5"/>
  <c r="G13" i="5" s="1"/>
  <c r="V7" i="5"/>
  <c r="F69" i="6"/>
  <c r="H49" i="6"/>
  <c r="D49" i="6" s="1"/>
  <c r="H34" i="6"/>
  <c r="H32" i="6"/>
  <c r="C45" i="6"/>
  <c r="C51" i="6"/>
  <c r="D19" i="6"/>
  <c r="C19" i="6"/>
  <c r="K65" i="6"/>
  <c r="D24" i="6"/>
  <c r="C24" i="6"/>
  <c r="X100" i="5"/>
  <c r="D27" i="6"/>
  <c r="C27" i="6"/>
  <c r="C36" i="6"/>
  <c r="C42" i="6"/>
  <c r="C40" i="6"/>
  <c r="C41" i="6"/>
  <c r="C20" i="6"/>
  <c r="D20" i="6"/>
  <c r="C2" i="6"/>
  <c r="B2" i="6"/>
  <c r="C35" i="6"/>
  <c r="F57" i="6"/>
  <c r="H57" i="6" s="1"/>
  <c r="H54" i="6"/>
  <c r="F62" i="6"/>
  <c r="H62" i="6" s="1"/>
  <c r="F58" i="6"/>
  <c r="H58" i="6" s="1"/>
  <c r="F60" i="6"/>
  <c r="H60" i="6" s="1"/>
  <c r="F63" i="6"/>
  <c r="H63" i="6" s="1"/>
  <c r="F59" i="6"/>
  <c r="H59" i="6" s="1"/>
  <c r="F55" i="6"/>
  <c r="D25" i="6"/>
  <c r="C25" i="6"/>
  <c r="D26" i="6"/>
  <c r="C26" i="6"/>
  <c r="D21" i="6"/>
  <c r="C21" i="6"/>
  <c r="C39" i="6"/>
  <c r="D22" i="6"/>
  <c r="C22" i="6"/>
  <c r="H47" i="6"/>
  <c r="D47" i="6" s="1"/>
  <c r="C52" i="6"/>
  <c r="C44" i="6"/>
  <c r="S244" i="5"/>
  <c r="S71" i="5"/>
  <c r="S212" i="5"/>
  <c r="S168" i="5"/>
  <c r="S303" i="5"/>
  <c r="S201" i="5"/>
  <c r="S240" i="5"/>
  <c r="S300" i="5"/>
  <c r="S128" i="5"/>
  <c r="S176" i="5"/>
  <c r="S191" i="5"/>
  <c r="S284" i="5"/>
  <c r="S279" i="5"/>
  <c r="S261" i="5"/>
  <c r="S288" i="5"/>
  <c r="S140" i="5"/>
  <c r="S192" i="5"/>
  <c r="S120" i="5"/>
  <c r="S172" i="5"/>
  <c r="S136" i="5"/>
  <c r="S144" i="5"/>
  <c r="S132" i="5"/>
  <c r="S152" i="5"/>
  <c r="S87" i="5"/>
  <c r="S108" i="5"/>
  <c r="S272" i="5"/>
  <c r="S148" i="5"/>
  <c r="S200" i="5"/>
  <c r="S104" i="5"/>
  <c r="S215" i="5"/>
  <c r="S287" i="5"/>
  <c r="S281" i="5"/>
  <c r="S297" i="5"/>
  <c r="S208" i="5"/>
  <c r="S116" i="5"/>
  <c r="S91" i="5"/>
  <c r="S124" i="5"/>
  <c r="S184" i="5"/>
  <c r="S293" i="5"/>
  <c r="S196" i="5"/>
  <c r="S180" i="5"/>
  <c r="S277" i="5"/>
  <c r="S276" i="5"/>
  <c r="S112" i="5"/>
  <c r="S207" i="5"/>
  <c r="S224" i="5"/>
  <c r="S228" i="5"/>
  <c r="S239" i="5"/>
  <c r="S236" i="5"/>
  <c r="S102" i="5"/>
  <c r="S296" i="5"/>
  <c r="S243" i="5"/>
  <c r="S306" i="5"/>
  <c r="S268" i="5"/>
  <c r="S163" i="5"/>
  <c r="S264" i="5"/>
  <c r="S251" i="5"/>
  <c r="S252" i="5"/>
  <c r="S220" i="5"/>
  <c r="S305" i="5"/>
  <c r="S194" i="5"/>
  <c r="S256" i="5"/>
  <c r="S164" i="5"/>
  <c r="S160" i="5"/>
  <c r="S280" i="5"/>
  <c r="S260" i="5"/>
  <c r="S188" i="5"/>
  <c r="S156" i="5"/>
  <c r="S43" i="5"/>
  <c r="S151" i="5"/>
  <c r="S292" i="5"/>
  <c r="S216" i="5"/>
  <c r="S232" i="5"/>
  <c r="S211" i="5"/>
  <c r="S204" i="5"/>
  <c r="S308" i="5"/>
  <c r="S248" i="5"/>
  <c r="C50" i="6" l="1"/>
  <c r="C37" i="6"/>
  <c r="C46" i="6"/>
  <c r="C34" i="6"/>
  <c r="D34" i="6"/>
  <c r="D31" i="6"/>
  <c r="C30" i="6"/>
  <c r="D30" i="6"/>
  <c r="C32" i="6"/>
  <c r="D32" i="6"/>
  <c r="R16" i="5"/>
  <c r="I16" i="5"/>
  <c r="H16" i="5"/>
  <c r="E16" i="5"/>
  <c r="J16" i="5"/>
  <c r="F16" i="5"/>
  <c r="E10" i="5"/>
  <c r="I10" i="5"/>
  <c r="F10" i="5"/>
  <c r="R10" i="5"/>
  <c r="J10" i="5"/>
  <c r="H10" i="5"/>
  <c r="H13" i="5"/>
  <c r="R13" i="5"/>
  <c r="J13" i="5"/>
  <c r="E13" i="5"/>
  <c r="I13" i="5"/>
  <c r="F13" i="5"/>
  <c r="H7" i="5"/>
  <c r="E7" i="5"/>
  <c r="R7" i="5"/>
  <c r="F7" i="5"/>
  <c r="I7" i="5"/>
  <c r="J7" i="5"/>
  <c r="H17" i="5"/>
  <c r="I17" i="5"/>
  <c r="J17" i="5"/>
  <c r="R17" i="5"/>
  <c r="F17" i="5"/>
  <c r="E17" i="5"/>
  <c r="G7" i="5"/>
  <c r="G66" i="6"/>
  <c r="H66" i="6" s="1"/>
  <c r="C66" i="6" s="1"/>
  <c r="G67" i="6"/>
  <c r="H67" i="6" s="1"/>
  <c r="D67" i="6" s="1"/>
  <c r="G65" i="6"/>
  <c r="H65" i="6" s="1"/>
  <c r="C65" i="6" s="1"/>
  <c r="E12" i="5"/>
  <c r="I12" i="5"/>
  <c r="J12" i="5"/>
  <c r="R12" i="5"/>
  <c r="F12" i="5"/>
  <c r="H12" i="5"/>
  <c r="H9" i="5"/>
  <c r="J9" i="5"/>
  <c r="E9" i="5"/>
  <c r="I9" i="5"/>
  <c r="R9" i="5"/>
  <c r="F9" i="5"/>
  <c r="R8" i="5"/>
  <c r="H8" i="5"/>
  <c r="J8" i="5"/>
  <c r="E8" i="5"/>
  <c r="I8" i="5"/>
  <c r="F8" i="5"/>
  <c r="G9" i="5"/>
  <c r="G10" i="5"/>
  <c r="G8" i="5"/>
  <c r="H15" i="5"/>
  <c r="J15" i="5"/>
  <c r="E15" i="5"/>
  <c r="I15" i="5"/>
  <c r="F15" i="5"/>
  <c r="R15" i="5"/>
  <c r="H11" i="5"/>
  <c r="R11" i="5"/>
  <c r="J11" i="5"/>
  <c r="F11" i="5"/>
  <c r="E11" i="5"/>
  <c r="I11" i="5"/>
  <c r="I14" i="5"/>
  <c r="R14" i="5"/>
  <c r="J14" i="5"/>
  <c r="H14" i="5"/>
  <c r="E14" i="5"/>
  <c r="F14" i="5"/>
  <c r="C68" i="6"/>
  <c r="C49" i="6"/>
  <c r="C47" i="6"/>
  <c r="C60" i="6"/>
  <c r="D60" i="6"/>
  <c r="D58" i="6"/>
  <c r="C58" i="6"/>
  <c r="D63" i="6"/>
  <c r="C63" i="6"/>
  <c r="C62" i="6"/>
  <c r="D62" i="6"/>
  <c r="C54" i="6"/>
  <c r="D54" i="6"/>
  <c r="D57" i="6"/>
  <c r="C57" i="6"/>
  <c r="F56" i="6"/>
  <c r="H56" i="6" s="1"/>
  <c r="H55" i="6"/>
  <c r="D59" i="6"/>
  <c r="C59" i="6"/>
  <c r="T12" i="5"/>
  <c r="T16" i="5"/>
  <c r="T8" i="5"/>
  <c r="T7" i="5"/>
  <c r="T13" i="5"/>
  <c r="T17" i="5"/>
  <c r="T11" i="5"/>
  <c r="T9" i="5"/>
  <c r="T10" i="5"/>
  <c r="T15" i="5"/>
  <c r="T14" i="5"/>
  <c r="X13" i="5" l="1"/>
  <c r="X10" i="5"/>
  <c r="D65" i="6"/>
  <c r="X9" i="5"/>
  <c r="X12" i="5"/>
  <c r="X14" i="5"/>
  <c r="X17" i="5"/>
  <c r="D66" i="6"/>
  <c r="C67" i="6"/>
  <c r="X11" i="5"/>
  <c r="X15" i="5"/>
  <c r="X8" i="5"/>
  <c r="X7" i="5"/>
  <c r="G69" i="6"/>
  <c r="X16" i="5"/>
  <c r="D55" i="6"/>
  <c r="C55" i="6"/>
  <c r="D56" i="6"/>
  <c r="C56" i="6"/>
  <c r="S9" i="5"/>
  <c r="S14" i="5"/>
  <c r="S7" i="5"/>
  <c r="S12" i="5"/>
  <c r="S17" i="5"/>
  <c r="S15" i="5"/>
  <c r="S10" i="5"/>
  <c r="S16" i="5"/>
  <c r="S13" i="5"/>
  <c r="S11" i="5"/>
  <c r="S8" i="5"/>
  <c r="H69" i="6" l="1"/>
  <c r="H70" i="6" s="1"/>
  <c r="D2" i="6" s="1"/>
  <c r="C6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<sst xmlns="http://schemas.openxmlformats.org/spreadsheetml/2006/main" count="22452" uniqueCount="15528">
  <si>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</si>
  <si>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</si>
  <si>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</si>
  <si>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</si>
  <si>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</si>
  <si>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</si>
  <si>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</si>
  <si>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</si>
  <si>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</si>
  <si>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</si>
  <si>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</si>
  <si>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</si>
  <si>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</si>
  <si>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</si>
  <si>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</si>
  <si>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</si>
  <si>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</si>
  <si>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</si>
  <si>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</si>
  <si>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</si>
  <si>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</si>
  <si>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</si>
  <si>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</si>
  <si>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</si>
  <si>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</si>
  <si>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</si>
  <si>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</si>
  <si>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</si>
  <si>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</si>
  <si>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</si>
  <si>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</si>
  <si>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</si>
  <si>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</si>
  <si>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</si>
  <si>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</si>
  <si>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</si>
  <si>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</si>
  <si>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</si>
  <si>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</si>
  <si>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</si>
  <si>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</si>
  <si>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</si>
  <si>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</si>
  <si>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</si>
  <si>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</si>
  <si>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</si>
  <si>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</si>
  <si>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</si>
  <si>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</si>
  <si>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</si>
  <si>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</si>
  <si>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</si>
  <si>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</si>
  <si>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</si>
  <si>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</si>
  <si>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</si>
  <si>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</si>
  <si>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</si>
  <si>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</si>
  <si>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</si>
  <si>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</si>
  <si>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</si>
  <si>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</si>
  <si>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</si>
  <si>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</si>
  <si>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</si>
  <si>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</si>
  <si>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</si>
  <si>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</si>
  <si>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</si>
  <si>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</si>
  <si>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</si>
  <si>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</si>
  <si>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</si>
  <si>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</si>
  <si>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</si>
  <si>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</si>
  <si>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</si>
  <si>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</si>
  <si>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</si>
  <si>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</si>
  <si>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</si>
  <si>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</si>
  <si>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</si>
  <si>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</si>
  <si>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</si>
  <si>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</si>
  <si>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</si>
  <si>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</si>
  <si>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</si>
  <si>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</si>
  <si>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</si>
  <si>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</si>
  <si>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</si>
  <si>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</si>
  <si>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</si>
  <si>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</si>
  <si>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</si>
  <si>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</si>
  <si>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</si>
  <si>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</si>
  <si>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</si>
  <si>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</si>
  <si>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</si>
  <si>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</si>
  <si>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</si>
  <si>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</si>
  <si>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</si>
  <si>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</si>
  <si>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</si>
  <si>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</si>
  <si>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</si>
  <si>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</si>
  <si>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</si>
  <si>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</si>
  <si>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</si>
  <si>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</si>
  <si>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</si>
  <si>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</si>
  <si>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</si>
  <si>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</si>
  <si>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</si>
  <si>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</si>
  <si>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</si>
  <si>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</si>
  <si>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</si>
  <si>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</si>
  <si>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</si>
  <si>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</si>
  <si>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</si>
  <si>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</si>
  <si>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</si>
  <si>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</si>
  <si>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</si>
  <si>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</si>
  <si>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</si>
  <si>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</si>
  <si>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</si>
  <si>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</si>
  <si>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</si>
  <si>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</si>
  <si>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</si>
  <si>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</si>
  <si>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</si>
  <si>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</si>
  <si>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</si>
  <si>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</si>
  <si>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</si>
  <si>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</si>
  <si>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</si>
  <si>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</si>
  <si>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</si>
  <si>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</si>
  <si>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</si>
  <si>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</si>
  <si>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</si>
  <si>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</si>
  <si>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</si>
  <si>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</si>
  <si>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</si>
  <si>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</si>
  <si>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</si>
  <si>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</si>
  <si>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</si>
  <si>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</si>
  <si>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</si>
  <si>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</si>
  <si>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</si>
  <si>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</si>
  <si>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</si>
  <si>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</si>
  <si>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</si>
  <si>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</si>
  <si>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</si>
  <si>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</si>
  <si>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</si>
  <si>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</si>
  <si>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</si>
  <si>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</si>
  <si>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</si>
  <si>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</si>
  <si>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</si>
  <si>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</si>
  <si>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</si>
  <si>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</si>
  <si>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</si>
  <si>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</si>
  <si>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</si>
  <si>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</si>
  <si>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</si>
  <si>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</si>
  <si>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</si>
  <si>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</si>
  <si>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</si>
  <si>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</si>
  <si>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</si>
  <si>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</si>
  <si>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</si>
  <si>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</si>
  <si>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</si>
  <si>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</si>
  <si>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</si>
  <si>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</si>
  <si>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</si>
  <si>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</si>
  <si>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</si>
  <si>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</si>
  <si>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</si>
  <si>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</si>
  <si>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</si>
  <si>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</si>
  <si>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</si>
  <si>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</si>
  <si>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</si>
  <si>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</si>
  <si>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</si>
  <si>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</si>
  <si>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</si>
  <si>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</si>
  <si>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</si>
  <si>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</si>
  <si>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</si>
  <si>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</si>
  <si>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</si>
  <si>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</si>
  <si>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</si>
  <si>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</si>
  <si>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</si>
  <si>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</si>
  <si>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</si>
  <si>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</si>
  <si>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</si>
  <si>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</si>
  <si>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</si>
  <si>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</si>
  <si>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</si>
  <si>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</si>
  <si>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</si>
  <si>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</si>
  <si>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</si>
  <si>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</si>
  <si>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</si>
  <si>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</si>
  <si>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</si>
  <si>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</si>
  <si>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</si>
  <si>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</si>
  <si>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</si>
  <si>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</si>
  <si>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</si>
  <si>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</si>
  <si>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</si>
  <si>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</si>
  <si>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</si>
  <si>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</si>
  <si>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</si>
  <si>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</si>
  <si>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</si>
  <si>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</si>
  <si>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</si>
  <si>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</si>
  <si>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</si>
  <si>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</si>
  <si>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</si>
  <si>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</si>
  <si>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</si>
  <si>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</si>
  <si>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</si>
  <si>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</si>
  <si>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</si>
  <si>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</si>
  <si>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</si>
  <si>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</si>
  <si>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</si>
  <si>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</si>
  <si>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</si>
  <si>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</si>
  <si>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</si>
  <si>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</si>
  <si>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</si>
  <si>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</si>
  <si>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</si>
  <si>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</si>
  <si>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</si>
  <si>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</si>
  <si>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</si>
  <si>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</si>
  <si>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</si>
  <si>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</si>
  <si>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</si>
  <si>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</si>
  <si>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</si>
  <si>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</si>
  <si>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</si>
  <si>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</si>
  <si>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</si>
  <si>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</si>
  <si>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</si>
  <si>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</si>
  <si>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</si>
  <si>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</si>
  <si>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</si>
  <si>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</si>
  <si>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</si>
  <si>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</si>
  <si>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</si>
  <si>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</si>
  <si>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</si>
  <si>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</si>
  <si>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</si>
  <si>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</si>
  <si>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</si>
  <si>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</si>
  <si>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</si>
  <si>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</si>
  <si>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</si>
  <si>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</si>
  <si>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</si>
  <si>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</si>
  <si>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</si>
  <si>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</si>
  <si>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</si>
  <si>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</si>
  <si>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</si>
  <si>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</si>
  <si>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</si>
  <si>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</si>
  <si>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</si>
  <si>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</si>
  <si>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</si>
  <si>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</si>
  <si>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</si>
  <si>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</si>
  <si>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</si>
  <si>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</si>
  <si>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</si>
  <si>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</si>
  <si>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</si>
  <si>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</si>
  <si>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</si>
  <si>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</si>
  <si>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</si>
  <si>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</si>
  <si>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</si>
  <si>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</si>
  <si>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</si>
  <si>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</si>
  <si>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</si>
  <si>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</si>
  <si>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</si>
  <si>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</si>
  <si>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</si>
  <si>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</si>
  <si>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</si>
  <si>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</si>
  <si>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</si>
  <si>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</si>
  <si>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</si>
  <si>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</si>
  <si>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</si>
  <si>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</si>
  <si>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</si>
  <si>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</si>
  <si>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</si>
  <si>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</si>
  <si>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</si>
  <si>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</si>
  <si>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</si>
  <si>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</si>
  <si>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</si>
  <si>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</si>
  <si>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</si>
  <si>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</si>
  <si>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</si>
  <si>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</si>
  <si>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</si>
  <si>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</si>
  <si>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</si>
  <si>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</si>
  <si>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</si>
  <si>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</si>
  <si>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</si>
  <si>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</si>
  <si>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</si>
  <si>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</si>
  <si>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</si>
  <si>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</si>
  <si>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</si>
  <si>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</si>
  <si>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</si>
  <si>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</si>
  <si>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</si>
  <si>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</si>
  <si>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</si>
  <si>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</si>
  <si>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</si>
  <si>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</si>
  <si>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</si>
  <si>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</si>
  <si>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</si>
  <si>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</si>
  <si>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</si>
  <si>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</si>
  <si>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</si>
  <si>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</si>
  <si>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</si>
  <si>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</si>
  <si>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</si>
  <si>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</si>
  <si>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</si>
  <si>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</si>
  <si>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</si>
  <si>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</si>
  <si>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</si>
  <si>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</si>
  <si>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</si>
  <si>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</si>
  <si>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</si>
  <si>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</si>
  <si>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</si>
  <si>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</si>
  <si>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</si>
  <si>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</si>
  <si>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</si>
  <si>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</si>
  <si>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</si>
  <si>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</si>
  <si>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</si>
  <si>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</si>
  <si>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</si>
  <si>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</si>
  <si>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</si>
  <si>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</si>
  <si>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</si>
  <si>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</si>
  <si>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</si>
  <si>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</si>
  <si>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</si>
  <si>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</si>
  <si>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</si>
  <si>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</si>
  <si>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</si>
  <si>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</si>
  <si>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</si>
  <si>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</si>
  <si>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</si>
  <si>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</si>
  <si>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</si>
  <si>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</si>
  <si>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</si>
  <si>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</si>
  <si>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</si>
  <si>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</si>
  <si>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</si>
  <si>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</si>
  <si>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</si>
  <si>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</si>
  <si>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</si>
  <si>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</si>
  <si>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</si>
  <si>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</si>
  <si>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</si>
  <si>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</si>
  <si>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</si>
  <si>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</si>
  <si>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</si>
  <si>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</si>
  <si>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</si>
  <si>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</si>
  <si>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</si>
  <si>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</si>
  <si>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</si>
  <si>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</si>
  <si>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</si>
  <si>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</si>
  <si>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</si>
  <si>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</si>
  <si>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</si>
  <si>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</si>
  <si>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</si>
  <si>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</si>
  <si>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</si>
  <si>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</si>
  <si>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</si>
  <si>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</si>
  <si>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</si>
  <si>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</si>
  <si>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</si>
  <si>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</si>
  <si>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</si>
  <si>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</si>
  <si>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</si>
  <si>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</si>
  <si>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</si>
  <si>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</si>
  <si>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</si>
  <si>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</si>
  <si>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</si>
  <si>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</si>
  <si>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</si>
  <si>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</si>
  <si>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</si>
  <si>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</si>
  <si>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</si>
  <si>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</si>
  <si>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</si>
  <si>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</si>
  <si>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</si>
  <si>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</si>
  <si>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</si>
  <si>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</si>
  <si>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</si>
  <si>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</si>
  <si>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</si>
  <si>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</si>
  <si>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</si>
  <si>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</si>
  <si>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</si>
  <si>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</si>
  <si>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</si>
  <si>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</si>
  <si>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</si>
  <si>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</si>
  <si>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</si>
  <si>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</si>
  <si>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</si>
  <si>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</si>
  <si>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</si>
  <si>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</si>
  <si>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</si>
  <si>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</si>
  <si>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</si>
  <si>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</si>
  <si>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</si>
  <si>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</si>
  <si>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</si>
  <si>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</si>
  <si>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</si>
  <si>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</si>
  <si>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</si>
  <si>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</si>
  <si>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</si>
  <si>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</si>
  <si>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</si>
  <si>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</si>
  <si>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</si>
  <si>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</si>
  <si>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</si>
  <si>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</si>
  <si>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</si>
  <si>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</si>
  <si>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</si>
  <si>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</si>
  <si>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</si>
  <si>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</si>
  <si>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</si>
  <si>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</si>
  <si>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</si>
  <si>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</si>
  <si>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</si>
  <si>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</si>
  <si>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</si>
  <si>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</si>
  <si>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</si>
  <si>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</si>
  <si>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</si>
  <si>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</si>
  <si>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</si>
  <si>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</si>
  <si>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</si>
  <si>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</si>
  <si>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</si>
  <si>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</si>
  <si>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</si>
  <si>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</si>
  <si>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</si>
  <si>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</si>
  <si>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</si>
  <si>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</si>
  <si>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</si>
  <si>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</si>
  <si>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</si>
  <si>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</si>
  <si>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</si>
  <si>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</si>
  <si>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</si>
  <si>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</si>
  <si>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</si>
  <si>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</si>
  <si>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</si>
  <si>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</si>
  <si>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</si>
  <si>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</si>
  <si>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</si>
  <si>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</si>
  <si>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</si>
  <si>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</si>
  <si>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</si>
  <si>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</si>
  <si>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</si>
  <si>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</si>
  <si>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</si>
  <si>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</si>
  <si>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</si>
  <si>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</si>
  <si>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</si>
  <si>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</si>
  <si>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</si>
  <si>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</si>
  <si>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</si>
  <si>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</si>
  <si>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</si>
  <si>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</si>
  <si>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</si>
  <si>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</si>
  <si>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</si>
  <si>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</si>
  <si>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</si>
  <si>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</si>
  <si>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</si>
  <si>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</si>
  <si>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</si>
  <si>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</si>
  <si>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</si>
  <si>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</si>
  <si>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</si>
  <si>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</si>
  <si>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</si>
  <si>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</si>
  <si>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</si>
  <si>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</si>
  <si>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</si>
  <si>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</si>
  <si>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</si>
  <si>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</si>
  <si>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</si>
  <si>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</si>
  <si>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</si>
  <si>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</si>
  <si>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</si>
  <si>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</si>
  <si>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</si>
  <si>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</si>
  <si>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</si>
  <si>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</si>
  <si>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</si>
  <si>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</si>
  <si>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</si>
  <si>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</si>
  <si>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</si>
  <si>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</si>
  <si>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</si>
  <si>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</si>
  <si>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</si>
  <si>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</si>
  <si>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</si>
  <si>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</si>
  <si>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</si>
  <si>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</si>
  <si>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</si>
  <si>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</si>
  <si>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</si>
  <si>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</si>
  <si>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</si>
  <si>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</si>
  <si>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</si>
  <si>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</si>
  <si>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</si>
  <si>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</si>
  <si>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</si>
  <si>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</si>
  <si>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</si>
  <si>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</si>
  <si>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</si>
  <si>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</si>
  <si>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</si>
  <si>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</si>
  <si>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</si>
  <si>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</si>
  <si>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</si>
  <si>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</si>
  <si>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</si>
  <si>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</si>
  <si>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</si>
  <si>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</si>
  <si>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</si>
  <si>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</si>
  <si>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</si>
  <si>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</si>
  <si>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</si>
  <si>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</si>
  <si>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</si>
  <si>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</si>
  <si>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</si>
  <si>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</si>
  <si>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</si>
  <si>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</si>
  <si>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</si>
  <si>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</si>
  <si>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</si>
  <si>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</si>
  <si>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</si>
  <si>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</si>
  <si>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</si>
  <si>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</si>
  <si>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</si>
  <si>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</si>
  <si>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</si>
  <si>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</si>
  <si>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</si>
  <si>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</si>
  <si>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</si>
  <si>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</si>
  <si>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</si>
  <si>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</si>
  <si>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</si>
  <si>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</si>
  <si>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</si>
  <si>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</si>
  <si>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</si>
  <si>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</si>
  <si>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</si>
  <si>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</si>
  <si>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</si>
  <si>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</si>
  <si>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</si>
  <si>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</si>
  <si>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</si>
  <si>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</si>
  <si>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</si>
  <si>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</si>
  <si>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</si>
  <si>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</si>
  <si>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</si>
  <si>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</si>
  <si>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</si>
  <si>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</si>
  <si>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</si>
  <si>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</si>
  <si>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</si>
  <si>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</si>
  <si>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</si>
  <si>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</si>
  <si>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</si>
  <si>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</si>
  <si>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</si>
  <si>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</si>
  <si>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</si>
  <si>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</si>
  <si>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</si>
  <si>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</si>
  <si>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</si>
  <si>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</si>
  <si>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</si>
  <si>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</si>
  <si>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</si>
  <si>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</si>
  <si>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</si>
  <si>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</si>
  <si>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</si>
  <si>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</si>
  <si>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</si>
  <si>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</si>
  <si>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</si>
  <si>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</si>
  <si>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</si>
  <si>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</si>
  <si>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</si>
  <si>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</si>
  <si>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</si>
  <si>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</si>
  <si>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</si>
  <si>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</si>
  <si>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</si>
  <si>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</si>
  <si>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</si>
  <si>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</si>
  <si>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</si>
  <si>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</si>
  <si>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</si>
  <si>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</si>
  <si>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</si>
  <si>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</si>
  <si>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</si>
  <si>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</si>
  <si>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</si>
  <si>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</si>
  <si>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</si>
  <si>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</si>
  <si>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</si>
  <si>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</si>
  <si>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</si>
  <si>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</si>
  <si>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</si>
  <si>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</si>
  <si>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</si>
  <si>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</si>
  <si>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</si>
  <si>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</si>
  <si>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</si>
  <si>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</si>
  <si>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</si>
  <si>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</si>
  <si>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</si>
  <si>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</si>
  <si>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</si>
  <si>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</si>
  <si>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</si>
  <si>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</si>
  <si>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</si>
  <si>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</si>
  <si>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</si>
  <si>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</si>
  <si>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</si>
  <si>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</si>
  <si>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</si>
  <si>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</si>
  <si>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</si>
  <si>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</si>
  <si>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</si>
  <si>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</si>
  <si>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</si>
  <si>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</si>
  <si>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</si>
  <si>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</si>
  <si>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</si>
  <si>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</si>
  <si>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</si>
  <si>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</si>
  <si>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</si>
  <si>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</si>
  <si>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</si>
  <si>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</si>
  <si>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</si>
  <si>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</si>
  <si>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</si>
  <si>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</si>
  <si>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</si>
  <si>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</si>
  <si>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</si>
  <si>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</si>
  <si>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</si>
  <si>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</si>
  <si>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</si>
  <si>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</si>
  <si>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</si>
  <si>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</si>
  <si>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</si>
  <si>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</si>
  <si>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</si>
  <si>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</si>
  <si>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</si>
  <si>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</si>
  <si>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</si>
  <si>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</si>
  <si>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</si>
  <si>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</si>
  <si>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</si>
  <si>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</si>
  <si>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</si>
  <si>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</si>
  <si>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</si>
  <si>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</si>
  <si>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</si>
  <si>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</si>
  <si>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</si>
  <si>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</si>
  <si>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</si>
  <si>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</si>
  <si>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</si>
  <si>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</si>
  <si>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</si>
  <si>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</si>
  <si>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</si>
  <si>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</si>
  <si>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</si>
  <si>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</si>
  <si>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</si>
  <si>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</si>
  <si>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</si>
  <si>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</si>
  <si>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</si>
  <si>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</si>
  <si>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</si>
  <si>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</si>
  <si>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</si>
  <si>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</si>
  <si>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</si>
  <si>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</si>
  <si>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</si>
  <si>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</si>
  <si>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</si>
  <si>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</si>
  <si>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</si>
  <si>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</si>
  <si>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</si>
  <si>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</si>
  <si>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</si>
  <si>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</si>
  <si>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</si>
  <si>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</si>
  <si>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</si>
  <si>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</si>
  <si>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</si>
  <si>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</si>
  <si>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</si>
  <si>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</si>
  <si>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</si>
  <si>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</si>
  <si>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</si>
  <si>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</si>
  <si>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</si>
  <si>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</si>
  <si>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</si>
  <si>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</si>
  <si>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</si>
  <si>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</si>
  <si>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</si>
  <si>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</si>
  <si>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</si>
  <si>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</si>
  <si>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</si>
  <si>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</si>
  <si>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</si>
  <si>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</si>
  <si>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</si>
  <si>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</si>
  <si>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</si>
  <si>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</si>
  <si>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</si>
  <si>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</si>
  <si>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</si>
  <si>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</si>
  <si>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</si>
  <si>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</si>
  <si>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</si>
  <si>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</si>
  <si>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</si>
  <si>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</si>
  <si>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</si>
  <si>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</si>
  <si>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</si>
  <si>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</si>
  <si>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</si>
  <si>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</si>
  <si>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</si>
  <si>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</si>
  <si>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</si>
  <si>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</si>
  <si>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</si>
  <si>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</si>
  <si>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</si>
  <si>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</si>
  <si>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</si>
  <si>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</si>
  <si>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</si>
  <si>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</si>
  <si>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</si>
  <si>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</si>
  <si>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</si>
  <si>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</si>
  <si>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</si>
  <si>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</si>
  <si>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</si>
  <si>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</si>
  <si>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</si>
  <si>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</si>
  <si>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</si>
  <si>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</si>
  <si>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</si>
  <si>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</si>
  <si>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</si>
  <si>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</si>
  <si>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</si>
  <si>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</si>
  <si>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</si>
  <si>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</si>
  <si>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</si>
  <si>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</si>
  <si>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</si>
  <si>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</si>
  <si>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</si>
  <si>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</si>
  <si>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</si>
  <si>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</si>
  <si>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</si>
  <si>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</si>
  <si>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</si>
  <si>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</si>
  <si>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</si>
  <si>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</si>
  <si>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</si>
  <si>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</si>
  <si>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</si>
  <si>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</si>
  <si>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</si>
  <si>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</si>
  <si>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</si>
  <si>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</si>
  <si>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</si>
  <si>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</si>
  <si>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</si>
  <si>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</si>
  <si>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</si>
  <si>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</si>
  <si>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</si>
  <si>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</si>
  <si>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</si>
  <si>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</si>
  <si>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</si>
  <si>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</si>
  <si>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</si>
  <si>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</si>
  <si>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</si>
  <si>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</si>
  <si>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</si>
  <si>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</si>
  <si>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</si>
  <si>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</si>
  <si>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</si>
  <si>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</si>
  <si>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</si>
  <si>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</si>
  <si>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</si>
  <si>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</si>
  <si>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</si>
  <si>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</si>
  <si>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</si>
  <si>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</si>
  <si>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</si>
  <si>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</si>
  <si>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</si>
  <si>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</si>
  <si>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</si>
  <si>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</si>
  <si>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</si>
  <si>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</si>
  <si>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</si>
  <si>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</si>
  <si>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</si>
  <si>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</si>
  <si>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</si>
  <si>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</si>
  <si>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</si>
  <si>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</si>
  <si>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</si>
  <si>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</si>
  <si>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</si>
  <si>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</si>
  <si>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</si>
  <si>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</si>
  <si>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</si>
  <si>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</si>
  <si>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</si>
  <si>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</si>
  <si>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</si>
  <si>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</si>
  <si>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</si>
  <si>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</si>
  <si>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</si>
  <si>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</si>
  <si>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</si>
  <si>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</si>
  <si>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</si>
  <si>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</si>
  <si>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</si>
  <si>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</si>
  <si>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</si>
  <si>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</si>
  <si>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</si>
  <si>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</si>
  <si>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</si>
  <si>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</si>
  <si>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</si>
  <si>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</si>
  <si>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</si>
  <si>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</si>
  <si>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</si>
  <si>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</si>
  <si>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</si>
  <si>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</si>
  <si>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</si>
  <si>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</si>
  <si>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</si>
  <si>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</si>
  <si>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</si>
  <si>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</si>
  <si>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</si>
  <si>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</si>
  <si>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</si>
  <si>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</si>
  <si>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</si>
  <si>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</si>
  <si>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</si>
  <si>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</si>
  <si>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</si>
  <si>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</si>
  <si>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</si>
  <si>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</si>
  <si>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</si>
  <si>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</si>
  <si>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</si>
  <si>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</si>
  <si>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</si>
  <si>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</si>
  <si>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</si>
  <si>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</si>
  <si>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</si>
  <si>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</si>
  <si>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</si>
  <si>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</si>
  <si>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</si>
  <si>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</si>
  <si>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</si>
  <si>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</si>
  <si>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</si>
  <si>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</si>
  <si>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</si>
  <si>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</si>
  <si>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</si>
  <si>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</si>
  <si>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</si>
  <si>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</si>
  <si>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</si>
  <si>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</si>
  <si>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</si>
  <si>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</si>
  <si>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</si>
  <si>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</si>
  <si>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</si>
  <si>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</si>
  <si>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</si>
  <si>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</si>
  <si>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</si>
  <si>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</si>
  <si>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</si>
  <si>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</si>
  <si>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</si>
  <si>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</si>
  <si>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</si>
  <si>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</si>
  <si>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</si>
  <si>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</si>
  <si>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</si>
  <si>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</si>
  <si>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</si>
  <si>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</si>
  <si>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</si>
  <si>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</si>
  <si>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</si>
  <si>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</si>
  <si>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</si>
  <si>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</si>
  <si>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</si>
  <si>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</si>
  <si>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</si>
  <si>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</si>
  <si>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</si>
  <si>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</si>
  <si>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</si>
  <si>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</si>
  <si>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</si>
  <si>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</si>
  <si>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</si>
  <si>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</si>
  <si>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</si>
  <si>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</si>
  <si>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</si>
  <si>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</si>
  <si>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</si>
  <si>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</si>
  <si>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</si>
  <si>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</si>
  <si>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</si>
  <si>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</si>
  <si>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</si>
  <si>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</si>
  <si>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</si>
  <si>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</si>
  <si>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</si>
  <si>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</si>
  <si>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</si>
  <si>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</si>
  <si>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</si>
  <si>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</si>
  <si>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</si>
  <si>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</si>
  <si>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</si>
  <si>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</si>
  <si>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</si>
  <si>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</si>
  <si>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</si>
  <si>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</si>
  <si>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</si>
  <si>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</si>
  <si>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</si>
  <si>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</si>
  <si>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</si>
  <si>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</si>
  <si>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</si>
  <si>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</si>
  <si>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</si>
  <si>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</si>
  <si>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</si>
  <si>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</si>
  <si>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</si>
  <si>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</si>
  <si>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</si>
  <si>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</si>
  <si>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</si>
  <si>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</si>
  <si>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</si>
  <si>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</si>
  <si>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</si>
  <si>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</si>
  <si>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</si>
  <si>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</si>
  <si>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</si>
  <si>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</si>
  <si>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</si>
  <si>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</si>
  <si>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</si>
  <si>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</si>
  <si>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</si>
  <si>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</si>
  <si>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</si>
  <si>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</si>
  <si>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</si>
  <si>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</si>
  <si>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</si>
  <si>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</si>
  <si>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</si>
  <si>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</si>
  <si>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</si>
  <si>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</si>
  <si>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</si>
  <si>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</si>
  <si>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</si>
  <si>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</si>
  <si>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</si>
  <si>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</si>
  <si>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</si>
  <si>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</si>
  <si>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</si>
  <si>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</si>
  <si>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</si>
  <si>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</si>
  <si>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</si>
  <si>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</si>
  <si>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</si>
  <si>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</si>
  <si>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</si>
  <si>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</si>
  <si>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</si>
  <si>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</si>
  <si>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</si>
  <si>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</si>
  <si>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</si>
  <si>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</si>
  <si>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</si>
  <si>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</si>
  <si>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</si>
  <si>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</si>
  <si>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</si>
  <si>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</si>
  <si>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</si>
  <si>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</si>
  <si>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</si>
  <si>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</si>
  <si>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</si>
  <si>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</si>
  <si>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</si>
  <si>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</si>
  <si>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</si>
  <si>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</si>
  <si>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</si>
  <si>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</si>
  <si>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</si>
  <si>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</si>
  <si>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</si>
  <si>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</si>
  <si>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</si>
  <si>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</si>
  <si>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</si>
  <si>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</si>
  <si>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</si>
  <si>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</si>
  <si>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</si>
  <si>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</si>
  <si>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</si>
  <si>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</si>
  <si>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</si>
  <si>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</si>
  <si>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</si>
  <si>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</si>
  <si>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</si>
  <si>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</si>
  <si>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</si>
  <si>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</si>
  <si>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</si>
  <si>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</si>
  <si>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</si>
  <si>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</si>
  <si>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</si>
  <si>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</si>
  <si>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</si>
  <si>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</si>
  <si>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</si>
  <si>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</si>
  <si>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</si>
  <si>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</si>
  <si>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</si>
  <si>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</si>
  <si>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</si>
  <si>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</si>
  <si>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</si>
  <si>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</si>
  <si>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</si>
  <si>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</si>
  <si>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</si>
  <si>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</si>
  <si>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</si>
  <si>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</si>
  <si>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</si>
  <si>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</si>
  <si>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</si>
  <si>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</si>
  <si>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</si>
  <si>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</si>
  <si>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</si>
  <si>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</si>
  <si>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</si>
  <si>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</si>
  <si>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</si>
  <si>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</si>
  <si>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</si>
  <si>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</si>
  <si>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</si>
  <si>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</si>
  <si>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</si>
  <si>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</si>
  <si>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</si>
  <si>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</si>
  <si>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</si>
  <si>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</si>
  <si>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</si>
  <si>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</si>
  <si>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</si>
  <si>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</si>
  <si>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</si>
  <si>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</si>
  <si>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</si>
  <si>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</si>
  <si>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</si>
  <si>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</si>
  <si>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</si>
  <si>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</si>
  <si>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</si>
  <si>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</si>
  <si>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</si>
  <si>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</si>
  <si>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</si>
  <si>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</si>
  <si>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</si>
  <si>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</si>
  <si>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</si>
  <si>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</si>
  <si>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</si>
  <si>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</si>
  <si>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</si>
  <si>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</si>
  <si>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</si>
  <si>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</si>
  <si>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</si>
  <si>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</si>
  <si>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</si>
  <si>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</si>
  <si>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</si>
  <si>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</si>
  <si>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</si>
  <si>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</si>
  <si>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</si>
  <si>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</si>
  <si>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</si>
  <si>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</si>
  <si>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</si>
  <si>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</si>
  <si>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</si>
  <si>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</si>
  <si>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</si>
  <si>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</si>
  <si>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</si>
  <si>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</si>
  <si>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</si>
  <si>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</si>
  <si>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</si>
  <si>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</si>
  <si>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</si>
  <si>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</si>
  <si>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</si>
  <si>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</si>
  <si>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</si>
  <si>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</si>
  <si>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</si>
  <si>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</si>
  <si>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</si>
  <si>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</si>
  <si>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</si>
  <si>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</si>
  <si>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</si>
  <si>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</si>
  <si>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</si>
  <si>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</si>
  <si>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</si>
  <si>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</si>
  <si>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</si>
  <si>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</si>
  <si>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</si>
  <si>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</si>
  <si>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</si>
  <si>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</si>
  <si>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</si>
  <si>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</si>
  <si>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</si>
  <si>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</si>
  <si>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</si>
  <si>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</si>
  <si>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</si>
  <si>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</si>
  <si>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</si>
  <si>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</si>
  <si>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</si>
  <si>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</si>
  <si>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</si>
  <si>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</si>
  <si>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</si>
  <si>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</si>
  <si>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</si>
  <si>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</si>
  <si>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</si>
  <si>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</si>
  <si>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</si>
  <si>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</si>
  <si>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</si>
  <si>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</si>
  <si>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</si>
  <si>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</si>
  <si>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</si>
  <si>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</si>
  <si>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</si>
  <si>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</si>
  <si>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</si>
  <si>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</si>
  <si>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</si>
  <si>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</si>
  <si>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</si>
  <si>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</si>
  <si>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</si>
  <si>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</si>
  <si>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</si>
  <si>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</si>
  <si>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</si>
  <si>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</si>
  <si>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</si>
  <si>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</si>
  <si>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</si>
  <si>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</si>
  <si>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</si>
  <si>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</si>
  <si>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</si>
  <si>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</si>
  <si>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</si>
  <si>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</si>
  <si>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</si>
  <si>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</si>
  <si>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</si>
  <si>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</si>
  <si>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</si>
  <si>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</si>
  <si>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</si>
  <si>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</si>
  <si>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</si>
  <si>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</si>
  <si>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</si>
  <si>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</si>
  <si>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</si>
  <si>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</si>
  <si>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</si>
  <si>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</si>
  <si>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</si>
  <si>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</si>
  <si>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</si>
  <si>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</si>
  <si>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</si>
  <si>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</si>
  <si>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</si>
  <si>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</si>
  <si>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</si>
  <si>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</si>
  <si>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</si>
  <si>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</si>
  <si>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</si>
  <si>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</si>
  <si>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</si>
  <si>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</si>
  <si>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</si>
  <si>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</si>
  <si>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</si>
  <si>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</si>
  <si>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</si>
  <si>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</si>
  <si>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</si>
  <si>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</si>
  <si>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</si>
  <si>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</si>
  <si>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</si>
  <si>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</si>
  <si>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</si>
  <si>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</si>
  <si>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</si>
  <si>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</si>
  <si>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</si>
  <si>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</si>
  <si>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</si>
  <si>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</si>
  <si>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</si>
  <si>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</si>
  <si>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</si>
  <si>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</si>
  <si>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</si>
  <si>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</si>
  <si>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</si>
  <si>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</si>
  <si>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</si>
  <si>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</si>
  <si>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</si>
  <si>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</si>
  <si>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</si>
  <si>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</si>
  <si>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</si>
  <si>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</si>
  <si>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</si>
  <si>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</si>
  <si>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</si>
  <si>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</si>
  <si>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</si>
  <si>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</si>
  <si>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</si>
  <si>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</si>
  <si>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</si>
  <si>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</si>
  <si>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</si>
  <si>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</si>
  <si>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</si>
  <si>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</si>
  <si>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</si>
  <si>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</si>
  <si>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</si>
  <si>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</si>
  <si>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</si>
  <si>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</si>
  <si>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</si>
  <si>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</si>
  <si>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</si>
  <si>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</si>
  <si>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</si>
  <si>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</si>
  <si>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</si>
  <si>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</si>
  <si>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</si>
  <si>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</si>
  <si>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</si>
  <si>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</si>
  <si>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</si>
  <si>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</si>
  <si>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</si>
  <si>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</si>
  <si>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</si>
  <si>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</si>
  <si>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</si>
  <si>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</si>
  <si>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</si>
  <si>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</si>
  <si>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</si>
  <si>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</si>
  <si>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</si>
  <si>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</si>
  <si>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</si>
  <si>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</si>
  <si>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</si>
  <si>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</si>
  <si>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</si>
  <si>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</si>
  <si>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</si>
  <si>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</si>
  <si>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</si>
  <si>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</si>
  <si>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</si>
  <si>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</si>
  <si>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</si>
  <si>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</si>
  <si>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</si>
  <si>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</si>
  <si>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</si>
  <si>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</si>
  <si>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</si>
  <si>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</si>
  <si>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</si>
  <si>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</si>
  <si>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</si>
  <si>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</si>
  <si>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</si>
  <si>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</si>
  <si>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</si>
  <si>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</si>
  <si>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</si>
  <si>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</si>
  <si>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</si>
  <si>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</si>
  <si>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</si>
  <si>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</si>
  <si>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</si>
  <si>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</si>
  <si>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</si>
  <si>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</si>
  <si>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</si>
  <si>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</si>
  <si>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</si>
  <si>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</si>
  <si>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</si>
  <si>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</si>
  <si>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</si>
  <si>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</si>
  <si>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</si>
  <si>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</si>
  <si>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</si>
  <si>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</si>
  <si>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</si>
  <si>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</si>
  <si>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</si>
  <si>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</si>
  <si>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</si>
  <si>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</si>
  <si>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</si>
  <si>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</si>
  <si>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</si>
  <si>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</si>
  <si>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</si>
  <si>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</si>
  <si>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</si>
  <si>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</si>
  <si>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</si>
  <si>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</si>
  <si>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</si>
  <si>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</si>
  <si>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</si>
  <si>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</si>
  <si>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</si>
  <si>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</si>
  <si>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</si>
  <si>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</si>
  <si>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</si>
  <si>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</si>
  <si>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</si>
  <si>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</si>
  <si>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</si>
  <si>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</si>
  <si>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</si>
  <si>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</si>
  <si>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</si>
  <si>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</si>
  <si>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</si>
  <si>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</si>
  <si>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</si>
  <si>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</si>
  <si>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</si>
  <si>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</si>
  <si>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</si>
  <si>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</si>
  <si>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</si>
  <si>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</si>
  <si>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</si>
  <si>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</si>
  <si>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</si>
  <si>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</si>
  <si>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</si>
  <si>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</si>
  <si>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</si>
  <si>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</si>
  <si>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</si>
  <si>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</si>
  <si>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</si>
  <si>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</si>
  <si>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</si>
  <si>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</si>
  <si>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</si>
  <si>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</si>
  <si>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</si>
  <si>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</si>
  <si>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</si>
  <si>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</si>
  <si>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</si>
  <si>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</si>
  <si>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</si>
  <si>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</si>
  <si>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</si>
  <si>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</si>
  <si>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</si>
  <si>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</si>
  <si>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</si>
  <si>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</si>
  <si>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</si>
  <si>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</si>
  <si>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</si>
  <si>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</si>
  <si>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</si>
  <si>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</si>
  <si>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</si>
  <si>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</si>
  <si>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</si>
  <si>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</si>
  <si>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</si>
  <si>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</si>
  <si>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</si>
  <si>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</si>
  <si>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</si>
  <si>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</si>
  <si>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</si>
  <si>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</si>
  <si>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</si>
  <si>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</si>
  <si>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</si>
  <si>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</si>
  <si>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</si>
  <si>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</si>
  <si>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</si>
  <si>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</si>
  <si>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</si>
  <si>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</si>
  <si>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</si>
  <si>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</si>
  <si>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</si>
  <si>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</si>
  <si>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</si>
  <si>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</si>
  <si>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</si>
  <si>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</si>
  <si>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</si>
  <si>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</si>
  <si>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</si>
  <si>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</si>
  <si>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</si>
  <si>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</si>
  <si>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</si>
  <si>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</si>
  <si>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</si>
  <si>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</si>
  <si>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</si>
  <si>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</si>
  <si>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</si>
  <si>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</si>
  <si>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</si>
  <si>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</si>
  <si>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</si>
  <si>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</si>
  <si>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</si>
  <si>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</si>
  <si>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</si>
  <si>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</si>
  <si>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</si>
  <si>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</si>
  <si>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</si>
  <si>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</si>
  <si>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</si>
  <si>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</si>
  <si>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</si>
  <si>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</si>
  <si>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</si>
  <si>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</si>
  <si>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</si>
  <si>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</si>
  <si>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</si>
  <si>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</si>
  <si>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</si>
  <si>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</si>
  <si>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</si>
  <si>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</si>
  <si>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</si>
  <si>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</si>
  <si>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</si>
  <si>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</si>
  <si>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</si>
  <si>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</si>
  <si>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</si>
  <si>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</si>
  <si>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</si>
  <si>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</si>
  <si>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</si>
  <si>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</si>
  <si>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</si>
  <si>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</si>
  <si>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</si>
  <si>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</si>
  <si>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</si>
  <si>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</si>
  <si>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</si>
  <si>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</si>
  <si>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</si>
  <si>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</si>
  <si>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</si>
  <si>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</si>
  <si>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</si>
  <si>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</si>
  <si>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</si>
  <si>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</si>
  <si>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</si>
  <si>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</si>
  <si>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</si>
  <si>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</si>
  <si>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</si>
  <si>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</si>
  <si>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</si>
  <si>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</si>
  <si>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</si>
  <si>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</si>
  <si>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</si>
  <si>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</si>
  <si>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</si>
  <si>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</si>
  <si>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</si>
  <si>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</si>
  <si>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</si>
  <si>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</si>
  <si>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</si>
  <si>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</si>
  <si>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</si>
  <si>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</si>
  <si>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</si>
  <si>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</si>
  <si>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</si>
  <si>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</si>
  <si>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</si>
  <si>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</si>
  <si>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</si>
  <si>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</si>
  <si>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</si>
  <si>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</si>
  <si>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</si>
  <si>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</si>
  <si>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</si>
  <si>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</si>
  <si>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</si>
  <si>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</si>
  <si>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</si>
  <si>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</si>
  <si>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</si>
  <si>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</si>
  <si>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</si>
  <si>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</si>
  <si>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</si>
  <si>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</si>
  <si>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</si>
  <si>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</si>
  <si>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</si>
  <si>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</si>
  <si>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</si>
  <si>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</si>
  <si>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</si>
  <si>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</si>
  <si>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</si>
  <si>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</si>
  <si>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</si>
  <si>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</si>
  <si>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</si>
  <si>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</si>
  <si>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</si>
  <si>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</si>
  <si>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</si>
  <si>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</si>
  <si>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</si>
  <si>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</si>
  <si>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</si>
  <si>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</si>
  <si>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</si>
  <si>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</si>
  <si>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</si>
  <si>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</si>
  <si>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</si>
  <si>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</si>
  <si>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</si>
  <si>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</si>
  <si>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</si>
  <si>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</si>
  <si>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</si>
  <si>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</si>
  <si>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</si>
  <si>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</si>
  <si>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</si>
  <si>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</si>
  <si>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</si>
  <si>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</si>
  <si>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</si>
  <si>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</si>
  <si>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</si>
  <si>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</si>
  <si>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</si>
  <si>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</si>
  <si>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</si>
  <si>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</si>
  <si>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</si>
  <si>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</si>
  <si>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</si>
  <si>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</si>
  <si>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</si>
  <si>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</si>
  <si>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</si>
  <si>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</si>
  <si>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</si>
  <si>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</si>
  <si>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</si>
  <si>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</si>
  <si>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</si>
  <si>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</si>
  <si>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</si>
  <si>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</si>
  <si>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</si>
  <si>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</si>
  <si>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</si>
  <si>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</si>
  <si>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</si>
  <si>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</si>
  <si>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</si>
  <si>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</si>
  <si>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</si>
  <si>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</si>
  <si>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</si>
  <si>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</si>
  <si>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</si>
  <si>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</si>
  <si>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</si>
  <si>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</si>
  <si>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</si>
  <si>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</si>
  <si>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</si>
  <si>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</si>
  <si>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</si>
  <si>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</si>
  <si>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</si>
  <si>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</si>
  <si>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</si>
  <si>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</si>
  <si>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</si>
  <si>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</si>
  <si>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</si>
  <si>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</si>
  <si>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</si>
  <si>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</si>
  <si>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</si>
  <si>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</si>
  <si>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</si>
  <si>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</si>
  <si>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</si>
  <si>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</si>
  <si>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</si>
  <si>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</si>
  <si>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</si>
  <si>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</si>
  <si>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</si>
  <si>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</si>
  <si>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</si>
  <si>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</si>
  <si>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</si>
  <si>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</si>
  <si>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</si>
  <si>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</si>
  <si>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</si>
  <si>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</si>
  <si>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</si>
  <si>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</si>
  <si>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</si>
  <si>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</si>
  <si>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</si>
  <si>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</si>
  <si>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</si>
  <si>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</si>
  <si>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</si>
  <si>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</si>
  <si>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</si>
  <si>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</si>
  <si>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</si>
  <si>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</si>
  <si>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</si>
  <si>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</si>
  <si>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</si>
  <si>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</si>
  <si>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</si>
  <si>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</si>
  <si>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</si>
  <si>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</si>
  <si>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</si>
  <si>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</si>
  <si>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</si>
  <si>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</si>
  <si>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</si>
  <si>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</si>
  <si>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</si>
  <si>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</si>
  <si>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</si>
  <si>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</si>
  <si>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</si>
  <si>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</si>
  <si>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</si>
  <si>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</si>
  <si>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</si>
  <si>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</si>
  <si>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</si>
  <si>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</si>
  <si>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</si>
  <si>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</si>
  <si>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</si>
  <si>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</si>
  <si>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</si>
  <si>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</si>
  <si>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</si>
  <si>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</si>
  <si>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</si>
  <si>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</si>
  <si>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</si>
  <si>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</si>
  <si>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</si>
  <si>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</si>
  <si>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</si>
  <si>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</si>
  <si>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</si>
  <si>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</si>
  <si>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</si>
  <si>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</si>
  <si>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</si>
  <si>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</si>
  <si>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</si>
  <si>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</si>
  <si>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</si>
  <si>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</si>
  <si>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</si>
  <si>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</si>
  <si>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</si>
  <si>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</si>
  <si>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</si>
  <si>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</si>
  <si>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</si>
  <si>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</si>
  <si>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</si>
  <si>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</si>
  <si>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</si>
  <si>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</si>
  <si>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</si>
  <si>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</si>
  <si>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</si>
  <si>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</si>
  <si>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</si>
  <si>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</si>
  <si>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</si>
  <si>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</si>
  <si>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</si>
  <si>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</si>
  <si>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</si>
  <si>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</si>
  <si>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</si>
  <si>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</si>
  <si>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</si>
  <si>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</si>
  <si>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</si>
  <si>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</si>
  <si>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</si>
  <si>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</si>
  <si>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</si>
  <si>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</si>
  <si>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</si>
  <si>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</si>
  <si>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</si>
  <si>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</si>
  <si>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</si>
  <si>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</si>
  <si>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</si>
  <si>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</si>
  <si>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</si>
  <si>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</si>
  <si>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</si>
  <si>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</si>
  <si>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</si>
  <si>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</si>
  <si>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</si>
  <si>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</si>
  <si>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</si>
  <si>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</si>
  <si>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</si>
  <si>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</si>
  <si>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</si>
  <si>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</si>
  <si>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</si>
  <si>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</si>
  <si>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</si>
  <si>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</si>
  <si>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</si>
  <si>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</si>
  <si>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</si>
  <si>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</si>
  <si>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</si>
  <si>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</si>
  <si>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</si>
  <si>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</si>
  <si>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</si>
  <si>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</si>
  <si>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</si>
  <si>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</si>
  <si>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</si>
  <si>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</si>
  <si>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</si>
  <si>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</si>
  <si>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</si>
  <si>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</si>
  <si>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</si>
  <si>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</si>
  <si>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</si>
  <si>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</si>
  <si>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</si>
  <si>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</si>
  <si>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</si>
  <si>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</si>
  <si>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</si>
  <si>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</si>
  <si>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</si>
  <si>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</si>
  <si>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</si>
  <si>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</si>
  <si>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</si>
  <si>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</si>
  <si>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</si>
  <si>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</si>
  <si>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</si>
  <si>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</si>
  <si>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</si>
  <si>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</si>
  <si>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</si>
  <si>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</si>
  <si>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</si>
  <si>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</si>
  <si>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</si>
  <si>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</si>
  <si>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</si>
  <si>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</si>
  <si>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</si>
  <si>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</si>
  <si>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</si>
  <si>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</si>
  <si>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</si>
  <si>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</si>
  <si>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</si>
  <si>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</si>
  <si>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</si>
  <si>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</si>
  <si>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</si>
  <si>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</si>
  <si>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</si>
  <si>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</si>
  <si>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</si>
  <si>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</si>
  <si>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</si>
  <si>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</si>
  <si>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</si>
  <si>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</si>
  <si>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</si>
  <si>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</si>
  <si>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</si>
  <si>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</si>
  <si>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</si>
  <si>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</si>
  <si>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</si>
  <si>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</si>
  <si>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</si>
  <si>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</si>
  <si>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</si>
  <si>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</si>
  <si>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</si>
  <si>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</si>
  <si>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</si>
  <si>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</si>
  <si>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</si>
  <si>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</si>
  <si>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</si>
  <si>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</si>
  <si>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</si>
  <si>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</si>
  <si>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</si>
  <si>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</si>
  <si>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</si>
  <si>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</si>
  <si>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</si>
  <si>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</si>
  <si>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</si>
  <si>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</si>
  <si>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</si>
  <si>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</si>
  <si>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</si>
  <si>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</si>
  <si>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</si>
  <si>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</si>
  <si>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</si>
  <si>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</si>
  <si>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</si>
  <si>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</si>
  <si>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</si>
  <si>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</si>
  <si>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</si>
  <si>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</si>
  <si>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</si>
  <si>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</si>
  <si>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</si>
  <si>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</si>
  <si>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</si>
  <si>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</si>
  <si>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</si>
  <si>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</si>
  <si>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</si>
  <si>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</si>
  <si>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</si>
  <si>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</si>
  <si>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</si>
  <si>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</si>
  <si>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</si>
  <si>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</si>
  <si>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</si>
  <si>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</si>
  <si>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</si>
  <si>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</si>
  <si>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</si>
  <si>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</si>
  <si>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</si>
  <si>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</si>
  <si>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</si>
  <si>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</si>
  <si>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</si>
  <si>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</si>
  <si>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</si>
  <si>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</si>
  <si>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</si>
  <si>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</si>
  <si>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</si>
  <si>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</si>
  <si>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</si>
  <si>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</si>
  <si>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</si>
  <si>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</si>
  <si>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</si>
  <si>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</si>
  <si>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</si>
  <si>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</si>
  <si>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</si>
  <si>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</si>
  <si>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</si>
  <si>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</si>
  <si>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</si>
  <si>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</si>
  <si>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</si>
  <si>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</si>
  <si>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</si>
  <si>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</si>
  <si>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</si>
  <si>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</si>
  <si>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</si>
  <si>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</si>
  <si>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</si>
  <si>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</si>
  <si>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</si>
  <si>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</si>
  <si>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</si>
  <si>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</si>
  <si>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</si>
  <si>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</si>
  <si>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</si>
  <si>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</si>
  <si>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</si>
  <si>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</si>
  <si>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</si>
  <si>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</si>
  <si>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</si>
  <si>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</si>
  <si>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</si>
  <si>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</si>
  <si>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</si>
  <si>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</si>
  <si>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</si>
  <si>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</si>
  <si>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</si>
  <si>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</si>
  <si>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</si>
  <si>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</si>
  <si>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</si>
  <si>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</si>
  <si>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</si>
  <si>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</si>
  <si>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</si>
  <si>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</si>
  <si>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</si>
  <si>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</si>
  <si>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</si>
  <si>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</si>
  <si>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</si>
  <si>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</si>
  <si>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</si>
  <si>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</si>
  <si>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</si>
  <si>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</si>
  <si>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</si>
  <si>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</si>
  <si>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</si>
  <si>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</si>
  <si>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</si>
  <si>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</si>
  <si>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</si>
  <si>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</si>
  <si>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</si>
  <si>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</si>
  <si>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</si>
  <si>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</si>
  <si>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</si>
  <si>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</si>
  <si>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</si>
  <si>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</si>
  <si>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</si>
  <si>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</si>
  <si>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</si>
  <si>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</si>
  <si>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</si>
  <si>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</si>
  <si>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</si>
  <si>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</si>
  <si>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</si>
  <si>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</si>
  <si>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</si>
  <si>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</si>
  <si>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</si>
  <si>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</si>
  <si>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</si>
  <si>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</si>
  <si>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</si>
  <si>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</si>
  <si>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</si>
  <si>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</si>
  <si>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</si>
  <si>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</si>
  <si>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</si>
  <si>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</si>
  <si>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</si>
  <si>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</si>
  <si>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</si>
  <si>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</si>
  <si>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</si>
  <si>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</si>
  <si>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</si>
  <si>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</si>
  <si>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</si>
  <si>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</si>
  <si>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</si>
  <si>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</si>
  <si>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</si>
  <si>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</si>
  <si>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</si>
  <si>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</si>
  <si>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</si>
  <si>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</si>
  <si>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</si>
  <si>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</si>
  <si>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</si>
  <si>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</si>
  <si>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</si>
  <si>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</si>
  <si>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</si>
  <si>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</si>
  <si>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</si>
  <si>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</si>
  <si>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</si>
  <si>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</si>
  <si>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</si>
  <si>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</si>
  <si>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</si>
  <si>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</si>
  <si>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</si>
  <si>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</si>
  <si>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</si>
  <si>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</si>
  <si>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</si>
  <si>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</si>
  <si>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</si>
  <si>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</si>
  <si>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</si>
  <si>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</si>
  <si>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</si>
  <si>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</si>
  <si>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</si>
  <si>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</si>
  <si>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</si>
  <si>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</si>
  <si>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</si>
  <si>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</si>
  <si>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</si>
  <si>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</si>
  <si>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</si>
  <si>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</si>
  <si>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</si>
  <si>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</si>
  <si>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</si>
  <si>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</si>
  <si>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</si>
  <si>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</si>
  <si>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</si>
  <si>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</si>
  <si>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</si>
  <si>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</si>
  <si>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</si>
  <si>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</si>
  <si>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</si>
  <si>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</si>
  <si>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</si>
  <si>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</si>
  <si>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</si>
  <si>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</si>
  <si>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</si>
  <si>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</si>
  <si>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</si>
  <si>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</si>
  <si>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</si>
  <si>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</si>
  <si>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</si>
  <si>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</si>
  <si>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</si>
  <si>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</si>
  <si>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</si>
  <si>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</si>
  <si>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</si>
  <si>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</si>
  <si>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</si>
  <si>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</si>
  <si>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</si>
  <si>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</si>
  <si>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</si>
  <si>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</si>
  <si>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</si>
  <si>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</si>
  <si>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</si>
  <si>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</si>
  <si>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</si>
  <si>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</si>
  <si>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</si>
  <si>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</si>
  <si>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</si>
  <si>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</si>
  <si>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</si>
  <si>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</si>
  <si>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</si>
  <si>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</si>
  <si>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</si>
  <si>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</si>
  <si>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</si>
  <si>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</si>
  <si>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</si>
  <si>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</si>
  <si>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</si>
  <si>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</si>
  <si>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</si>
  <si>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</si>
  <si>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</si>
  <si>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</si>
  <si>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</si>
  <si>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</si>
  <si>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</si>
  <si>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</si>
  <si>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</si>
  <si>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</si>
  <si>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</si>
  <si>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</si>
  <si>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</si>
  <si>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</si>
  <si>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</si>
  <si>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</si>
  <si>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</si>
  <si>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</si>
  <si>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</si>
  <si>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</si>
  <si>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</si>
  <si>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</si>
  <si>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</si>
  <si>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</si>
  <si>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</si>
  <si>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</si>
  <si>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</si>
  <si>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</si>
  <si>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</si>
  <si>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</si>
  <si>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</si>
  <si>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</si>
  <si>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</si>
  <si>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</si>
  <si>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</si>
  <si>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</si>
  <si>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</si>
  <si>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</si>
  <si>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</si>
  <si>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</si>
  <si>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</si>
  <si>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</si>
  <si>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</si>
  <si>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</si>
  <si>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</si>
  <si>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</si>
  <si>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</si>
  <si>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</si>
  <si>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</si>
  <si>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</si>
  <si>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</si>
  <si>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</si>
  <si>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</si>
  <si>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</si>
  <si>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</si>
  <si>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</si>
  <si>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</si>
  <si>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</si>
  <si>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</si>
  <si>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</si>
  <si>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</si>
  <si>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</si>
  <si>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</si>
  <si>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</si>
  <si>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</si>
  <si>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</si>
  <si>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</si>
  <si>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</si>
  <si>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</si>
  <si>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</si>
  <si>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</si>
  <si>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</si>
  <si>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</si>
  <si>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</si>
  <si>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</si>
  <si>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</si>
  <si>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</si>
  <si>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</si>
  <si>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</si>
  <si>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</si>
  <si>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</si>
  <si>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</si>
  <si>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</si>
  <si>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</si>
  <si>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</si>
  <si>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</si>
  <si>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</si>
  <si>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</si>
  <si>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</si>
  <si>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</si>
  <si>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</si>
  <si>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</si>
  <si>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</si>
  <si>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</si>
  <si>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</si>
  <si>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</si>
  <si>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</si>
  <si>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</si>
  <si>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</si>
  <si>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</si>
  <si>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</si>
  <si>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</si>
  <si>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</si>
  <si>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</si>
  <si>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</si>
  <si>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</si>
  <si>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</si>
  <si>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</si>
  <si>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</si>
  <si>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</si>
  <si>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</si>
  <si>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</si>
  <si>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</si>
  <si>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</si>
  <si>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</si>
  <si>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</si>
  <si>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</si>
  <si>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</si>
  <si>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</si>
  <si>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</si>
  <si>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</si>
  <si>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</si>
  <si>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</si>
  <si>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</si>
  <si>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</si>
  <si>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</si>
  <si>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</si>
  <si>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</si>
  <si>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</si>
  <si>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</si>
  <si>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</si>
  <si>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</si>
  <si>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</si>
  <si>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</si>
  <si>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</si>
  <si>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</si>
  <si>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</si>
  <si>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</si>
  <si>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</si>
  <si>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</si>
  <si>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</si>
  <si>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</si>
  <si>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</si>
  <si>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</si>
  <si>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</si>
  <si>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</si>
  <si>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</si>
  <si>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</si>
  <si>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</si>
  <si>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</si>
  <si>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</si>
  <si>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</si>
  <si>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</si>
  <si>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</si>
  <si>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</si>
  <si>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</si>
  <si>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</si>
  <si>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</si>
  <si>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</si>
  <si>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</si>
  <si>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</si>
  <si>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</si>
  <si>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</si>
  <si>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</si>
  <si>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</si>
  <si>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</si>
  <si>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</si>
  <si>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</si>
  <si>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</si>
  <si>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</si>
  <si>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</si>
  <si>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</si>
  <si>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</si>
  <si>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</si>
  <si>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</si>
  <si>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</si>
  <si>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</si>
  <si>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</si>
  <si>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</si>
  <si>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</si>
  <si>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</si>
  <si>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</si>
  <si>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</si>
  <si>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</si>
  <si>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</si>
  <si>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</si>
  <si>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</si>
  <si>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</si>
  <si>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</si>
  <si>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</si>
  <si>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</si>
  <si>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</si>
  <si>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</si>
  <si>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</si>
  <si>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</si>
  <si>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</si>
  <si>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</si>
  <si>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</si>
  <si>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</si>
  <si>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</si>
  <si>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</si>
  <si>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</si>
  <si>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</si>
  <si>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</si>
  <si>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</si>
  <si>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</si>
  <si>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</si>
  <si>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</si>
  <si>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</si>
  <si>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</si>
  <si>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</si>
  <si>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</si>
  <si>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</si>
  <si>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</si>
  <si>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</si>
  <si>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</si>
  <si>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</si>
  <si>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</si>
  <si>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</si>
  <si>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</si>
  <si>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</si>
  <si>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</si>
  <si>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</si>
  <si>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</si>
  <si>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</si>
  <si>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</si>
  <si>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</si>
  <si>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</si>
  <si>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</si>
  <si>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</si>
  <si>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</si>
  <si>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</si>
  <si>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</si>
  <si>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</si>
  <si>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</si>
  <si>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</si>
  <si>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</si>
  <si>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</si>
  <si>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</si>
  <si>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</si>
  <si>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</si>
  <si>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</si>
  <si>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</si>
  <si>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</si>
  <si>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</si>
  <si>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</si>
  <si>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</si>
  <si>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</si>
  <si>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</si>
  <si>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</si>
  <si>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</si>
  <si>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</si>
  <si>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</si>
  <si>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</si>
  <si>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</si>
  <si>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</si>
  <si>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</si>
  <si>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</si>
  <si>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</si>
  <si>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</si>
  <si>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</si>
  <si>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</si>
  <si>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</si>
  <si>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</si>
  <si>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</si>
  <si>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</si>
  <si>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</si>
  <si>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</si>
  <si>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</si>
  <si>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</si>
  <si>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</si>
  <si>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</si>
  <si>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</si>
  <si>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</si>
  <si>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</si>
  <si>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</si>
  <si>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</si>
  <si>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</si>
  <si>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</si>
  <si>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</si>
  <si>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</si>
  <si>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</si>
  <si>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</si>
  <si>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</si>
  <si>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</si>
  <si>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</si>
  <si>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</si>
  <si>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</si>
  <si>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</si>
  <si>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</si>
  <si>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</si>
  <si>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</si>
  <si>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</si>
  <si>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</si>
  <si>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</si>
  <si>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</si>
  <si>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</si>
  <si>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</si>
  <si>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</si>
  <si>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</si>
  <si>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</si>
  <si>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</si>
  <si>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</si>
  <si>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</si>
  <si>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</si>
  <si>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</si>
  <si>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</si>
  <si>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</si>
  <si>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</si>
  <si>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</si>
  <si>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</si>
  <si>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</si>
  <si>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</si>
  <si>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</si>
  <si>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</si>
  <si>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</si>
  <si>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</si>
  <si>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</si>
  <si>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</si>
  <si>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</si>
  <si>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</si>
  <si>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</si>
  <si>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</si>
  <si>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</si>
  <si>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</si>
  <si>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</si>
  <si>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</si>
  <si>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</si>
  <si>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</si>
  <si>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</si>
  <si>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</si>
  <si>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</si>
  <si>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</si>
  <si>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</si>
  <si>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</si>
  <si>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</si>
  <si>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</si>
  <si>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</si>
  <si>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</si>
  <si>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</si>
  <si>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</si>
  <si>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</si>
  <si>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</si>
  <si>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</si>
  <si>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</si>
  <si>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</si>
  <si>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</si>
  <si>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</si>
  <si>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</si>
  <si>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</si>
  <si>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</si>
  <si>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</si>
  <si>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</si>
  <si>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</si>
  <si>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</si>
  <si>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</si>
  <si>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</si>
  <si>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</si>
  <si>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</si>
  <si>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</si>
  <si>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</si>
  <si>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</si>
  <si>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</si>
  <si>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</si>
  <si>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</si>
  <si>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</si>
  <si>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</si>
  <si>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</si>
  <si>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</si>
  <si>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</si>
  <si>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</si>
  <si>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</si>
  <si>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</si>
  <si>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</si>
  <si>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</si>
  <si>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</si>
  <si>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</si>
  <si>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</si>
  <si>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</si>
  <si>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</si>
  <si>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</si>
  <si>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</si>
  <si>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</si>
  <si>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</si>
  <si>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</si>
  <si>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</si>
  <si>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</si>
  <si>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</si>
  <si>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</si>
  <si>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</si>
  <si>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</si>
  <si>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</si>
  <si>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</si>
  <si>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</si>
  <si>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</si>
  <si>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</si>
  <si>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</si>
  <si>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</si>
  <si>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</si>
  <si>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</si>
  <si>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</si>
  <si>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</si>
  <si>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</si>
  <si>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</si>
  <si>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</si>
  <si>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</si>
  <si>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</si>
  <si>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</si>
  <si>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</si>
  <si>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</si>
  <si>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</si>
  <si>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</si>
  <si>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</si>
  <si>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</si>
  <si>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</si>
  <si>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</si>
  <si>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</si>
  <si>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</si>
  <si>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</si>
  <si>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</si>
  <si>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</si>
  <si>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</si>
  <si>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</si>
  <si>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</si>
  <si>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</si>
  <si>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</si>
  <si>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</si>
  <si>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</si>
  <si>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</si>
  <si>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</si>
  <si>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</si>
  <si>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</si>
  <si>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</si>
  <si>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</si>
  <si>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</si>
  <si>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</si>
  <si>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</si>
  <si>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</si>
  <si>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</si>
  <si>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</si>
  <si>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</si>
  <si>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</si>
  <si>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</si>
  <si>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</si>
  <si>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</si>
  <si>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</si>
  <si>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</si>
  <si>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</si>
  <si>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</si>
  <si>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</si>
  <si>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</si>
  <si>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</si>
  <si>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</si>
  <si>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</si>
  <si>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</si>
  <si>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</si>
  <si>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</si>
  <si>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</si>
  <si>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</si>
  <si>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</si>
  <si>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</si>
  <si>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</si>
  <si>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</si>
  <si>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</si>
  <si>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</si>
  <si>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</si>
  <si>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</si>
  <si>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</si>
  <si>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</si>
  <si>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</si>
  <si>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</si>
  <si>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</si>
  <si>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</si>
  <si>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</si>
  <si>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</si>
  <si>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</si>
  <si>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</si>
  <si>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</si>
  <si>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</si>
  <si>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</si>
  <si>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</si>
  <si>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</si>
  <si>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</si>
  <si>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</si>
  <si>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</si>
  <si>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</si>
  <si>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</si>
  <si>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</si>
  <si>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</si>
  <si>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</si>
  <si>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</si>
  <si>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</si>
  <si>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</si>
  <si>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</si>
  <si>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</si>
  <si>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</si>
  <si>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</si>
  <si>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</si>
  <si>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</si>
  <si>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</si>
  <si>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</si>
  <si>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</si>
  <si>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</si>
  <si>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</si>
  <si>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</si>
  <si>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</si>
  <si>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</si>
  <si>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</si>
  <si>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</si>
  <si>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</si>
  <si>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</si>
  <si>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</si>
  <si>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</si>
  <si>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</si>
  <si>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</si>
  <si>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</si>
  <si>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</si>
  <si>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</si>
  <si>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</si>
  <si>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</si>
  <si>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</si>
  <si>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</si>
  <si>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</si>
  <si>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</si>
  <si>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</si>
  <si>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</si>
  <si>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</si>
  <si>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</si>
  <si>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</si>
  <si>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</si>
  <si>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</si>
  <si>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</si>
  <si>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</si>
  <si>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</si>
  <si>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</si>
  <si>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</si>
  <si>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</si>
  <si>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</si>
  <si>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</si>
  <si>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</si>
  <si>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</si>
  <si>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</si>
  <si>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</si>
  <si>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</si>
  <si>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</si>
  <si>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</si>
  <si>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</si>
  <si>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</si>
  <si>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</si>
  <si>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</si>
  <si>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</si>
  <si>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</si>
  <si>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</si>
  <si>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</si>
  <si>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</si>
  <si>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</si>
  <si>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</si>
  <si>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</si>
  <si>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</si>
  <si>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</si>
  <si>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</si>
  <si>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</si>
  <si>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</si>
  <si>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</si>
  <si>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</si>
  <si>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</si>
  <si>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</si>
  <si>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</si>
  <si>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</si>
  <si>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</si>
  <si>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</si>
  <si>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</si>
  <si>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</si>
  <si>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</si>
  <si>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</si>
  <si>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</si>
  <si>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</si>
  <si>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</si>
  <si>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</si>
  <si>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</si>
  <si>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</si>
  <si>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</si>
  <si>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</si>
  <si>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</si>
  <si>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</si>
  <si>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</si>
  <si>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</si>
  <si>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</si>
  <si>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</si>
  <si>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</si>
  <si>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</si>
  <si>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</si>
  <si>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</si>
  <si>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</si>
  <si>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</si>
  <si>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</si>
  <si>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</si>
  <si>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</si>
  <si>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</si>
  <si>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</si>
  <si>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</si>
  <si>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</si>
  <si>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</si>
  <si>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</si>
  <si>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</si>
  <si>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</si>
  <si>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</si>
  <si>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</si>
  <si>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</si>
  <si>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</si>
  <si>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</si>
  <si>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</si>
  <si>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</si>
  <si>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</si>
  <si>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</si>
  <si>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</si>
  <si>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</si>
  <si>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</si>
  <si>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</si>
  <si>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</si>
  <si>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</si>
  <si>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</si>
  <si>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</si>
  <si>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</si>
  <si>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</si>
  <si>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</si>
  <si>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</si>
  <si>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</si>
  <si>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</si>
  <si>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</si>
  <si>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</si>
  <si>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</si>
  <si>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</si>
  <si>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</si>
  <si>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</si>
  <si>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</si>
  <si>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</si>
  <si>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</si>
  <si>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</si>
  <si>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</si>
  <si>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</si>
  <si>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</si>
  <si>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</si>
  <si>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</si>
  <si>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</si>
  <si>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</si>
  <si>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</si>
  <si>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</si>
  <si>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</si>
  <si>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</si>
  <si>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</si>
  <si>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</si>
  <si>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</si>
  <si>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</si>
  <si>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</si>
  <si>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</si>
  <si>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</si>
  <si>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</si>
  <si>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</si>
  <si>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</si>
  <si>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</si>
  <si>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</si>
  <si>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</si>
  <si>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</si>
  <si>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</si>
  <si>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</si>
  <si>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</si>
  <si>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</si>
  <si>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</si>
  <si>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</si>
  <si>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</si>
  <si>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</si>
  <si>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</si>
  <si>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</si>
  <si>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</si>
  <si>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</si>
  <si>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</si>
  <si>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</si>
  <si>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</si>
  <si>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</si>
  <si>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</si>
  <si>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</si>
  <si>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</si>
  <si>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</si>
  <si>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</si>
  <si>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</si>
  <si>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</si>
  <si>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</si>
  <si>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</si>
  <si>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</si>
  <si>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</si>
  <si>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</si>
  <si>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</si>
  <si>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</si>
  <si>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</si>
  <si>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</si>
  <si>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</si>
  <si>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</si>
  <si>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</si>
  <si>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</si>
  <si>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</si>
  <si>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</si>
  <si>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</si>
  <si>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</si>
  <si>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</si>
  <si>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</si>
  <si>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</si>
  <si>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</si>
  <si>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</si>
  <si>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</si>
  <si>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</si>
  <si>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</si>
  <si>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</si>
  <si>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</si>
  <si>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</si>
  <si>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</si>
  <si>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</si>
  <si>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</si>
  <si>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</si>
  <si>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</si>
  <si>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</si>
  <si>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</si>
  <si>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</si>
  <si>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</si>
  <si>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</si>
  <si>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</si>
  <si>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</si>
  <si>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</si>
  <si>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</si>
  <si>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</si>
  <si>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</si>
  <si>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</si>
  <si>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</si>
  <si>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</si>
  <si>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</si>
  <si>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</si>
  <si>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</si>
  <si>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</si>
  <si>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</si>
  <si>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</si>
  <si>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</si>
  <si>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</si>
  <si>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</si>
  <si>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</si>
  <si>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</si>
  <si>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</si>
  <si>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</si>
  <si>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</si>
  <si>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</si>
  <si>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</si>
  <si>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</si>
  <si>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</si>
  <si>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</si>
  <si>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</si>
  <si>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</si>
  <si>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</si>
  <si>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</si>
  <si>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</si>
  <si>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</si>
  <si>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</si>
  <si>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</si>
  <si>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</si>
  <si>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</si>
  <si>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</si>
  <si>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</si>
  <si>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</si>
  <si>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</si>
  <si>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</si>
  <si>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</si>
  <si>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</si>
  <si>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</si>
  <si>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</si>
  <si>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</si>
  <si>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</si>
  <si>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</si>
  <si>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</si>
  <si>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</si>
  <si>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</si>
  <si>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</si>
  <si>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</si>
  <si>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</si>
  <si>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</si>
  <si>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</si>
  <si>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</si>
  <si>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</si>
  <si>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</si>
  <si>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</si>
  <si>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</si>
  <si>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</si>
  <si>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</si>
  <si>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</si>
  <si>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</si>
  <si>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</si>
  <si>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</si>
  <si>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</si>
  <si>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</si>
  <si>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</si>
  <si>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</si>
  <si>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</si>
  <si>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</si>
  <si>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</si>
  <si>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</si>
  <si>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</si>
  <si>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</si>
  <si>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</si>
  <si>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</si>
  <si>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</si>
  <si>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</si>
  <si>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</si>
  <si>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</si>
  <si>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</si>
  <si>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</si>
  <si>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</si>
  <si>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</si>
  <si>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</si>
  <si>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</si>
  <si>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</si>
  <si>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</si>
  <si>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</si>
  <si>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</si>
  <si>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</si>
  <si>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</si>
  <si>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</si>
  <si>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</si>
  <si>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</si>
  <si>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</si>
  <si>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</si>
  <si>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</si>
  <si>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</si>
  <si>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</si>
  <si>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</si>
  <si>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</si>
  <si>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</si>
  <si>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</si>
  <si>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</si>
  <si>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</si>
  <si>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</si>
  <si>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</si>
  <si>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</si>
  <si>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</si>
  <si>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</si>
  <si>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</si>
  <si>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</si>
  <si>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</si>
  <si>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</si>
  <si>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</si>
  <si>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</si>
  <si>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</si>
  <si>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</si>
  <si>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</si>
  <si>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</si>
  <si>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</si>
  <si>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</si>
  <si>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</si>
  <si>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</si>
  <si>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</si>
  <si>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</si>
  <si>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</si>
  <si>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</si>
  <si>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</si>
  <si>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</si>
  <si>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</si>
  <si>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</si>
  <si>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</si>
  <si>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</si>
  <si>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</si>
  <si>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</si>
  <si>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</si>
  <si>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</si>
  <si>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</si>
  <si>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</si>
  <si>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</si>
  <si>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</si>
  <si>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</si>
  <si>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</si>
  <si>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</si>
  <si>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</si>
  <si>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</si>
  <si>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</si>
  <si>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</si>
  <si>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</si>
  <si>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</si>
  <si>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</si>
  <si>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</si>
  <si>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</si>
  <si>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</si>
  <si>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</si>
  <si>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</si>
  <si>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</si>
  <si>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</si>
  <si>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</si>
  <si>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</si>
  <si>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</si>
  <si>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</si>
  <si>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</si>
  <si>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</si>
  <si>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</si>
  <si>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</si>
  <si>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</si>
  <si>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</si>
  <si>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</si>
  <si>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</si>
  <si>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</si>
  <si>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</si>
  <si>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</si>
  <si>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</si>
  <si>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</si>
  <si>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</si>
  <si>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</si>
  <si>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</si>
  <si>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</si>
  <si>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</si>
  <si>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</si>
  <si>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</si>
  <si>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</si>
  <si>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</si>
  <si>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</si>
  <si>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</si>
  <si>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</si>
  <si>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</si>
  <si>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</si>
  <si>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</si>
  <si>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</si>
  <si>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</si>
  <si>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</si>
  <si>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</si>
  <si>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</si>
  <si>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</si>
  <si>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</si>
  <si>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</si>
  <si>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</si>
  <si>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</si>
  <si>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</si>
  <si>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</si>
  <si>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</si>
  <si>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</si>
  <si>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</si>
  <si>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</si>
  <si>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</si>
  <si>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</si>
  <si>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</si>
  <si>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</si>
  <si>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</si>
  <si>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</si>
  <si>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</si>
  <si>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</si>
  <si>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</si>
  <si>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</si>
  <si>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</si>
  <si>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</si>
  <si>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</si>
  <si>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</si>
  <si>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</si>
  <si>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</si>
  <si>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</si>
  <si>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</si>
  <si>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</si>
  <si>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</si>
  <si>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</si>
  <si>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</si>
  <si>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</si>
  <si>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</si>
  <si>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</si>
  <si>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</si>
  <si>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</si>
  <si>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</si>
  <si>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</si>
  <si>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</si>
  <si>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</si>
  <si>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</si>
  <si>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</si>
  <si>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</si>
  <si>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</si>
  <si>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</si>
  <si>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</si>
  <si>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</si>
  <si>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</si>
  <si>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</si>
  <si>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</si>
  <si>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</si>
  <si>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</si>
  <si>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</si>
  <si>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</si>
  <si>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</si>
  <si>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</si>
  <si>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</si>
  <si>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</si>
  <si>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</si>
  <si>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</si>
  <si>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</si>
  <si>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</si>
  <si>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</si>
  <si>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</si>
  <si>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</si>
  <si>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</si>
  <si>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</si>
  <si>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</si>
  <si>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</si>
  <si>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</si>
  <si>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</si>
  <si>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</si>
  <si>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</si>
  <si>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</si>
  <si>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</si>
  <si>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</si>
  <si>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</si>
  <si>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</si>
  <si>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</si>
  <si>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</si>
  <si>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</si>
  <si>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</si>
  <si>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</si>
  <si>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</si>
  <si>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</si>
  <si>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</si>
  <si>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</si>
  <si>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</si>
  <si>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</si>
  <si>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</si>
  <si>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</si>
  <si>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</si>
  <si>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</si>
  <si>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</si>
  <si>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</si>
  <si>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</si>
  <si>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</si>
  <si>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</si>
  <si>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</si>
  <si>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</si>
  <si>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</si>
  <si>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</si>
  <si>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</si>
  <si>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</si>
  <si>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</si>
  <si>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</si>
  <si>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</si>
  <si>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</si>
  <si>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</si>
  <si>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</si>
  <si>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</si>
  <si>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</si>
  <si>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</si>
  <si>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</si>
  <si>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</si>
  <si>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</si>
  <si>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</si>
  <si>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</si>
  <si>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</si>
  <si>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</si>
  <si>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</si>
  <si>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</si>
  <si>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</si>
  <si>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</si>
  <si>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</si>
  <si>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</si>
  <si>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</si>
  <si>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</si>
  <si>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</si>
  <si>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</si>
  <si>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</si>
  <si>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</si>
  <si>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</si>
  <si>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</si>
  <si>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</si>
  <si>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</si>
  <si>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</si>
  <si>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</si>
  <si>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</si>
  <si>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</si>
  <si>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</si>
  <si>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</si>
  <si>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</si>
  <si>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</si>
  <si>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</si>
  <si>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</si>
  <si>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</si>
  <si>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</si>
  <si>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</si>
  <si>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</si>
  <si>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</si>
  <si>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</si>
  <si>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</si>
  <si>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</si>
  <si>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</si>
  <si>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</si>
  <si>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</si>
  <si>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</si>
  <si>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</si>
  <si>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</si>
  <si>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</si>
  <si>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</si>
  <si>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</si>
  <si>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</si>
  <si>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</si>
  <si>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</si>
  <si>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</si>
  <si>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</si>
  <si>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</si>
  <si>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</si>
  <si>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</si>
  <si>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</si>
  <si>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</si>
  <si>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</si>
  <si>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</si>
  <si>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</si>
  <si>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</si>
  <si>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</si>
  <si>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</si>
  <si>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</si>
  <si>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</si>
  <si>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</si>
  <si>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</si>
  <si>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</si>
  <si>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</si>
  <si>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</si>
  <si>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</si>
  <si>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</si>
  <si>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</si>
  <si>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</si>
  <si>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</si>
  <si>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</si>
  <si>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</si>
  <si>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</si>
  <si>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</si>
  <si>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</si>
  <si>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</si>
  <si>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</si>
  <si>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</si>
  <si>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</si>
  <si>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</si>
  <si>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</si>
  <si>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</si>
  <si>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</si>
  <si>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</si>
  <si>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</si>
  <si>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</si>
  <si>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</si>
  <si>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</si>
  <si>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</si>
  <si>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</si>
  <si>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</si>
  <si>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</si>
  <si>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</si>
  <si>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</si>
  <si>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</si>
  <si>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</si>
  <si>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</si>
  <si>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</si>
  <si>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</si>
  <si>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</si>
  <si>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</si>
  <si>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</si>
  <si>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</si>
  <si>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</si>
  <si>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</si>
  <si>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</si>
  <si>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</si>
  <si>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</si>
  <si>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</si>
  <si>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</si>
  <si>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</si>
  <si>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</si>
  <si>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</si>
  <si>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</si>
  <si>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</si>
  <si>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</si>
  <si>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</si>
  <si>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</si>
  <si>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</si>
  <si>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</si>
  <si>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</si>
  <si>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</si>
  <si>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</si>
  <si>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</si>
  <si>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</si>
  <si>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</si>
  <si>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</si>
  <si>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</si>
  <si>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</si>
  <si>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</si>
  <si>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</si>
  <si>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</si>
  <si>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</si>
  <si>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</si>
  <si>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</si>
  <si>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</si>
  <si>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</si>
  <si>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</si>
  <si>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</si>
  <si>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</si>
  <si>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</si>
  <si>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</si>
  <si>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</si>
  <si>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</si>
  <si>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</si>
  <si>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</si>
  <si>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</si>
  <si>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</si>
  <si>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</si>
  <si>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</si>
  <si>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</si>
  <si>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</si>
  <si>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</si>
  <si>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</si>
  <si>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</si>
  <si>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</si>
  <si>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</si>
  <si>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</si>
  <si>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</si>
  <si>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</si>
  <si>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</si>
  <si>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</si>
  <si>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</si>
  <si>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</si>
  <si>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</si>
  <si>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</si>
  <si>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</si>
  <si>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</si>
  <si>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</si>
  <si>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</si>
  <si>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</si>
  <si>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</si>
  <si>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</si>
  <si>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</si>
  <si>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</si>
  <si>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</si>
  <si>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</si>
  <si>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</si>
  <si>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</si>
  <si>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</si>
  <si>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</si>
  <si>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</si>
  <si>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</si>
  <si>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</si>
  <si>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</si>
  <si>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</si>
  <si>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</si>
  <si>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</si>
  <si>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</si>
  <si>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</si>
  <si>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</si>
  <si>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</si>
  <si>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</si>
  <si>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</si>
  <si>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</si>
  <si>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</si>
  <si>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</si>
  <si>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</si>
  <si>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</si>
  <si>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</si>
  <si>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</si>
  <si>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</si>
  <si>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</si>
  <si>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</si>
  <si>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</si>
  <si>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</si>
  <si>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</si>
  <si>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</si>
  <si>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</si>
  <si>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</si>
  <si>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</si>
  <si>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</si>
  <si>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</si>
  <si>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</si>
  <si>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</si>
  <si>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</si>
  <si>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</si>
  <si>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</si>
  <si>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</si>
  <si>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</si>
  <si>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</si>
  <si>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</si>
  <si>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</si>
  <si>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</si>
  <si>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</si>
  <si>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</si>
  <si>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</si>
  <si>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</si>
  <si>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</si>
  <si>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</si>
  <si>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</si>
  <si>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</si>
  <si>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</si>
  <si>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</si>
  <si>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</si>
  <si>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</si>
  <si>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</si>
  <si>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</si>
  <si>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</si>
  <si>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</si>
  <si>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</si>
  <si>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</si>
  <si>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</si>
  <si>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</si>
  <si>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</si>
  <si>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</si>
  <si>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</si>
  <si>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</si>
  <si>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</si>
  <si>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</si>
  <si>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</si>
  <si>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</si>
  <si>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</si>
  <si>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</si>
  <si>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</si>
  <si>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</si>
  <si>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</si>
  <si>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</si>
  <si>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</si>
  <si>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</si>
  <si>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</si>
  <si>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</si>
  <si>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</si>
  <si>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</si>
  <si>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</si>
  <si>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</si>
  <si>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</si>
  <si>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</si>
  <si>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</si>
  <si>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</si>
  <si>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</si>
  <si>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</si>
  <si>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</si>
  <si>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</si>
  <si>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</si>
  <si>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</si>
  <si>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</si>
  <si>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</si>
  <si>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</si>
  <si>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</si>
  <si>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</si>
  <si>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</si>
  <si>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</si>
  <si>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</si>
  <si>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</si>
  <si>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</si>
  <si>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</si>
  <si>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</si>
  <si>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</si>
  <si>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</si>
  <si>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</si>
  <si>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</si>
  <si>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</si>
  <si>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</si>
  <si>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</si>
  <si>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</si>
  <si>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</si>
  <si>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</si>
  <si>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</si>
  <si>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</si>
  <si>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</si>
  <si>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</si>
  <si>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</si>
  <si>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</si>
  <si>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</si>
  <si>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</si>
  <si>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</si>
  <si>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</si>
  <si>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</si>
  <si>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</si>
  <si>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</si>
  <si>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</si>
  <si>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</si>
  <si>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</si>
  <si>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</si>
  <si>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</si>
  <si>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</si>
  <si>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</si>
  <si>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</si>
  <si>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</si>
  <si>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</si>
  <si>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</si>
  <si>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</si>
  <si>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</si>
  <si>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</si>
  <si>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</si>
  <si>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</si>
  <si>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</si>
  <si>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</si>
  <si>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</si>
  <si>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</si>
  <si>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</si>
  <si>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</si>
  <si>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</si>
  <si>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</si>
  <si>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</si>
  <si>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</si>
  <si>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</si>
  <si>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</si>
  <si>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</si>
  <si>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</si>
  <si>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</si>
  <si>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</si>
  <si>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</si>
  <si>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</si>
  <si>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</si>
  <si>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</si>
  <si>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</si>
  <si>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</si>
  <si>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</si>
  <si>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</si>
  <si>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</si>
  <si>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</si>
  <si>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</si>
  <si>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</si>
  <si>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</si>
  <si>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</si>
  <si>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</si>
  <si>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</si>
  <si>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</si>
  <si>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</si>
  <si>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</si>
  <si>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</si>
  <si>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</si>
  <si>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</si>
  <si>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</si>
  <si>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</si>
  <si>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</si>
  <si>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</si>
  <si>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</si>
  <si>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</si>
  <si>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</si>
  <si>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</si>
  <si>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</si>
  <si>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</si>
  <si>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</si>
  <si>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</si>
  <si>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</si>
  <si>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</si>
  <si>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</si>
  <si>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</si>
  <si>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</si>
  <si>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</si>
  <si>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</si>
  <si>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</si>
  <si>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</si>
  <si>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</si>
  <si>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</si>
  <si>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</si>
  <si>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</si>
  <si>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</si>
  <si>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</si>
  <si>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</si>
  <si>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</si>
  <si>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</si>
  <si>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</si>
  <si>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</si>
  <si>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</si>
  <si>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</si>
  <si>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</si>
  <si>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</si>
  <si>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</si>
  <si>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</si>
  <si>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</si>
  <si>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</si>
  <si>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</si>
  <si>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</si>
  <si>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</si>
  <si>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</si>
  <si>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</si>
  <si>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</si>
  <si>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</si>
  <si>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</si>
  <si>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</si>
  <si>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</si>
  <si>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</si>
  <si>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</si>
  <si>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</si>
  <si>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</si>
  <si>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</si>
  <si>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</si>
  <si>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</si>
  <si>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</si>
  <si>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</si>
  <si>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</si>
  <si>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</si>
  <si>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</si>
  <si>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</si>
  <si>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</si>
  <si>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</si>
  <si>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</si>
  <si>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</si>
  <si>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</si>
  <si>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</si>
  <si>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</si>
  <si>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</si>
  <si>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</si>
  <si>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</si>
  <si>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</si>
  <si>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</si>
  <si>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</si>
  <si>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</si>
  <si>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</si>
  <si>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</si>
  <si>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</si>
  <si>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</si>
  <si>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</si>
  <si>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</si>
  <si>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</si>
  <si>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</si>
  <si>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</si>
  <si>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</si>
  <si>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</si>
  <si>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</si>
  <si>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</si>
  <si>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</si>
  <si>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</si>
  <si>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</si>
  <si>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</si>
  <si>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</si>
  <si>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</si>
  <si>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</si>
  <si>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</si>
  <si>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</si>
  <si>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</si>
  <si>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</si>
  <si>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</si>
  <si>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</si>
  <si>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</si>
  <si>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</si>
  <si>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</si>
  <si>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</si>
  <si>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</si>
  <si>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</si>
  <si>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</si>
  <si>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</si>
  <si>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</si>
  <si>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</si>
  <si>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</si>
  <si>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</si>
  <si>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</si>
  <si>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</si>
  <si>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</si>
  <si>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</si>
  <si>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</si>
  <si>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</si>
  <si>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</si>
  <si>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</si>
  <si>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</si>
  <si>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</si>
  <si>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</si>
  <si>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</si>
  <si>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</si>
  <si>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</si>
  <si>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</si>
  <si>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</si>
  <si>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</si>
  <si>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</si>
  <si>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</si>
  <si>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</si>
  <si>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</si>
  <si>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</si>
  <si>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</si>
  <si>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</si>
  <si>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</si>
  <si>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</si>
  <si>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</si>
  <si>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</si>
  <si>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</si>
  <si>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</si>
  <si>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</si>
  <si>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</si>
  <si>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</si>
  <si>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</si>
  <si>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</si>
  <si>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</si>
  <si>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</si>
  <si>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</si>
  <si>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</si>
  <si>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</si>
  <si>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</si>
  <si>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</si>
  <si>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</si>
  <si>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</si>
  <si>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</si>
  <si>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</si>
  <si>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</si>
  <si>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</si>
  <si>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</si>
  <si>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</si>
  <si>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</si>
  <si>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</si>
  <si>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</si>
  <si>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</si>
  <si>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</si>
  <si>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</si>
  <si>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</si>
  <si>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</si>
  <si>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</si>
  <si>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</si>
  <si>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</si>
  <si>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</si>
  <si>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</si>
  <si>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</si>
  <si>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</si>
  <si>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</si>
  <si>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</si>
  <si>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</si>
  <si>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</si>
  <si>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</si>
  <si>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</si>
  <si>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</si>
  <si>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</si>
  <si>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</si>
  <si>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</si>
  <si>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</si>
  <si>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</si>
  <si>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</si>
  <si>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</si>
  <si>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</si>
  <si>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</si>
  <si>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</si>
  <si>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</si>
  <si>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</si>
  <si>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</si>
  <si>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</si>
  <si>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</si>
  <si>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</si>
  <si>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</si>
  <si>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</si>
  <si>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</si>
  <si>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</si>
  <si>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</si>
  <si>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</si>
  <si>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</si>
  <si>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</si>
  <si>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</si>
  <si>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</si>
  <si>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</si>
  <si>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</si>
  <si>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</si>
  <si>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</si>
  <si>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</si>
  <si>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</si>
  <si>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</si>
  <si>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</si>
  <si>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</si>
  <si>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</si>
  <si>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</si>
  <si>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</si>
  <si>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</si>
  <si>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</si>
  <si>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</si>
  <si>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</si>
  <si>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</si>
  <si>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</si>
  <si>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</si>
  <si>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</si>
  <si>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</si>
  <si>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</si>
  <si>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</si>
  <si>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</si>
  <si>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</si>
  <si>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</si>
  <si>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</si>
  <si>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</si>
  <si>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</si>
  <si>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</si>
  <si>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</si>
  <si>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</si>
  <si>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</si>
  <si>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</si>
  <si>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</si>
  <si>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</si>
  <si>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</si>
  <si>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</si>
  <si>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</si>
  <si>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</si>
  <si>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</si>
  <si>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</si>
  <si>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</si>
  <si>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</si>
  <si>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</si>
  <si>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</si>
  <si>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</si>
  <si>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</si>
  <si>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</si>
  <si>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</si>
  <si>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</si>
  <si>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</si>
  <si>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</si>
  <si>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</si>
  <si>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</si>
  <si>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</si>
  <si>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</si>
  <si>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</si>
  <si>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</si>
  <si>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</si>
  <si>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</si>
  <si>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</si>
  <si>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</si>
  <si>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</si>
  <si>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</si>
  <si>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</si>
  <si>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</si>
  <si>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</si>
  <si>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</si>
  <si>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</si>
  <si>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</si>
  <si>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</si>
  <si>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</si>
  <si>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</si>
  <si>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</si>
  <si>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</si>
  <si>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</si>
  <si>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</si>
  <si>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</si>
  <si>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</si>
  <si>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</si>
  <si>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</si>
  <si>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</si>
  <si>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</si>
  <si>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</si>
  <si>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</si>
  <si>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</si>
  <si>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</si>
  <si>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</si>
  <si>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</si>
  <si>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</si>
  <si>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</si>
  <si>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</si>
  <si>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</si>
  <si>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</si>
  <si>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</si>
  <si>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</si>
  <si>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</si>
  <si>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</si>
  <si>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</si>
  <si>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</si>
  <si>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</si>
  <si>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</si>
  <si>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</si>
  <si>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</si>
  <si>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</si>
  <si>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</si>
  <si>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</si>
  <si>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</si>
  <si>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</si>
  <si>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</si>
  <si>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</si>
  <si>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</si>
  <si>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</si>
  <si>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</si>
  <si>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</si>
  <si>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</si>
  <si>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</si>
  <si>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</si>
  <si>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</si>
  <si>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</si>
  <si>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</si>
  <si>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</si>
  <si>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</si>
  <si>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</si>
  <si>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</si>
  <si>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</si>
  <si>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</si>
  <si>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</si>
  <si>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</si>
  <si>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</si>
  <si>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</si>
  <si>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</si>
  <si>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</si>
  <si>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</si>
  <si>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</si>
  <si>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</si>
  <si>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</si>
  <si>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</si>
  <si>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</si>
  <si>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</si>
  <si>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</si>
  <si>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</si>
  <si>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</si>
  <si>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</si>
  <si>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</si>
  <si>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</si>
  <si>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</si>
  <si>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</si>
  <si>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</si>
  <si>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</si>
  <si>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</si>
  <si>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</si>
  <si>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</si>
  <si>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</si>
  <si>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</si>
  <si>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</si>
  <si>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</si>
  <si>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</si>
  <si>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</si>
  <si>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</si>
  <si>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</si>
  <si>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</si>
  <si>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</si>
  <si>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</si>
  <si>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</si>
  <si>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</si>
  <si>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</si>
  <si>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</si>
  <si>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</si>
  <si>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</si>
  <si>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</si>
  <si>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</si>
  <si>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</si>
  <si>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</si>
  <si>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</si>
  <si>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</si>
  <si>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</si>
  <si>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</si>
  <si>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</si>
  <si>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</si>
  <si>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</si>
  <si>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</si>
  <si>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</si>
  <si>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</si>
  <si>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</si>
  <si>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</si>
  <si>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</si>
  <si>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</si>
  <si>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</si>
  <si>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</si>
  <si>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</si>
  <si>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</si>
  <si>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</si>
  <si>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</si>
  <si>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</si>
  <si>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</si>
  <si>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</si>
  <si>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</si>
  <si>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</si>
  <si>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</si>
  <si>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</si>
  <si>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</si>
  <si>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</si>
  <si>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</si>
  <si>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</si>
  <si>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</si>
  <si>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</si>
  <si>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</si>
  <si>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</si>
  <si>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</si>
  <si>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</si>
  <si>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</si>
  <si>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</si>
  <si>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</si>
  <si>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</si>
  <si>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</si>
  <si>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</si>
  <si>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</si>
  <si>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</si>
  <si>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</si>
  <si>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</si>
  <si>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</si>
  <si>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</si>
  <si>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</si>
  <si>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</si>
  <si>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</si>
  <si>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</si>
  <si>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</si>
  <si>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</si>
  <si>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</si>
  <si>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</si>
  <si>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</si>
  <si>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</si>
  <si>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</si>
  <si>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</si>
  <si>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</si>
  <si>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</si>
  <si>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</si>
  <si>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</si>
  <si>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</si>
  <si>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</si>
  <si>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</si>
  <si>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</si>
  <si>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</si>
  <si>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</si>
  <si>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</si>
  <si>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</si>
  <si>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</si>
  <si>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</si>
  <si>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</si>
  <si>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</si>
  <si>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</si>
  <si>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</si>
  <si>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</si>
  <si>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</si>
  <si>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</si>
  <si>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</si>
  <si>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</si>
  <si>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</si>
  <si>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</si>
  <si>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</si>
  <si>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</si>
  <si>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</si>
  <si>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</si>
  <si>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</si>
  <si>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</si>
  <si>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</si>
  <si>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</si>
  <si>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</si>
  <si>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</si>
  <si>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</si>
  <si>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</si>
  <si>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</si>
  <si>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</si>
  <si>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</si>
  <si>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</si>
  <si>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</si>
  <si>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</si>
  <si>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</si>
  <si>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</si>
  <si>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</si>
  <si>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</si>
  <si>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</si>
  <si>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</si>
  <si>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</si>
  <si>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</si>
  <si>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</si>
  <si>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</si>
  <si>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</si>
  <si>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</si>
  <si>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</si>
  <si>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</si>
  <si>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</si>
  <si>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</si>
  <si>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</si>
  <si>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</si>
  <si>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</si>
  <si>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</si>
  <si>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</si>
  <si>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</si>
  <si>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</si>
  <si>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</si>
  <si>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</si>
  <si>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</si>
  <si>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</si>
  <si>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</si>
  <si>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</si>
  <si>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</si>
  <si>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</si>
  <si>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</si>
  <si>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</si>
  <si>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</si>
  <si>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</si>
  <si>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</si>
  <si>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</si>
  <si>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</si>
  <si>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</si>
  <si>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</si>
  <si>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</si>
  <si>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</si>
  <si>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</si>
  <si>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</si>
  <si>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</si>
  <si>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</si>
  <si>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</si>
  <si>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</si>
  <si>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</si>
  <si>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</si>
  <si>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</si>
  <si>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</si>
  <si>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</si>
  <si>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</si>
  <si>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</si>
  <si>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</si>
  <si>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</si>
  <si>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</si>
  <si>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</si>
  <si>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</si>
  <si>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</si>
  <si>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</si>
  <si>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</si>
  <si>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</si>
  <si>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</si>
  <si>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</si>
  <si>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</si>
  <si>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</si>
  <si>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</si>
  <si>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</si>
  <si>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</si>
  <si>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</si>
  <si>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</si>
  <si>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</si>
  <si>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</si>
  <si>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</si>
  <si>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</si>
  <si>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</si>
  <si>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</si>
  <si>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</si>
  <si>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</si>
  <si>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</si>
  <si>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</si>
  <si>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</si>
  <si>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</si>
  <si>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</si>
  <si>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</si>
  <si>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</si>
  <si>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</si>
  <si>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</si>
  <si>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</si>
  <si>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</si>
  <si>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</si>
  <si>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</si>
  <si>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</si>
  <si>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</si>
  <si>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</si>
  <si>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</si>
  <si>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</si>
  <si>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</si>
  <si>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</si>
  <si>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</si>
  <si>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</si>
  <si>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</si>
  <si>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</si>
  <si>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</si>
  <si>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</si>
  <si>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</si>
  <si>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</si>
  <si>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</si>
  <si>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</si>
  <si>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</si>
  <si>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</si>
  <si>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</si>
  <si>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</si>
  <si>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</si>
  <si>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</si>
  <si>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</si>
  <si>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</si>
  <si>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</si>
  <si>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</si>
  <si>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</si>
  <si>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</si>
  <si>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</si>
  <si>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</si>
  <si>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</si>
  <si>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</si>
  <si>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</si>
  <si>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</si>
  <si>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</si>
  <si>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</si>
  <si>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</si>
  <si>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</si>
  <si>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</si>
  <si>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</si>
  <si>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</si>
  <si>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</si>
  <si>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</si>
  <si>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</si>
  <si>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</si>
  <si>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</si>
  <si>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</si>
  <si>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</si>
  <si>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</si>
  <si>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</si>
  <si>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</si>
  <si>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</si>
  <si>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</si>
  <si>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</si>
  <si>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</si>
  <si>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</si>
  <si>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</si>
  <si>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</si>
  <si>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</si>
  <si>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</si>
  <si>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</si>
  <si>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</si>
  <si>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</si>
  <si>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</si>
  <si>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</si>
  <si>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</si>
  <si>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</si>
  <si>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</si>
  <si>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</si>
  <si>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</si>
  <si>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</si>
  <si>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</si>
  <si>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</si>
  <si>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</si>
  <si>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</si>
  <si>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</si>
  <si>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</si>
  <si>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</si>
  <si>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</si>
  <si>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</si>
  <si>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</si>
  <si>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</si>
  <si>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</si>
  <si>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</si>
  <si>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</si>
  <si>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</si>
  <si>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</si>
  <si>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</si>
  <si>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</si>
  <si>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</si>
  <si>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</si>
  <si>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</si>
  <si>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</si>
  <si>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</si>
  <si>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</si>
  <si>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</si>
  <si>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</si>
  <si>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</si>
  <si>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</si>
  <si>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</si>
  <si>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</si>
  <si>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</si>
  <si>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</si>
  <si>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</si>
  <si>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</si>
  <si>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</si>
  <si>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</si>
  <si>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</si>
  <si>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</si>
  <si>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</si>
  <si>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</si>
  <si>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</si>
  <si>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</si>
  <si>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</si>
  <si>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</si>
  <si>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</si>
  <si>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</si>
  <si>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</si>
  <si>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</si>
  <si>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</si>
  <si>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</si>
  <si>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</si>
  <si>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</si>
  <si>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</si>
  <si>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</si>
  <si>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</si>
  <si>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</si>
  <si>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</si>
  <si>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</si>
  <si>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</si>
  <si>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</si>
  <si>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</si>
  <si>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</si>
  <si>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</si>
  <si>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</si>
  <si>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</si>
  <si>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</si>
  <si>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</si>
  <si>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</si>
  <si>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</si>
  <si>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</si>
  <si>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</si>
  <si>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</si>
  <si>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</si>
  <si>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</si>
  <si>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</si>
  <si>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</si>
  <si>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</si>
  <si>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</si>
  <si>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</si>
  <si>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</si>
  <si>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</si>
  <si>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</si>
  <si>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</si>
  <si>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</si>
  <si>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</si>
  <si>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</si>
  <si>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</si>
  <si>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</si>
  <si>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</si>
  <si>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</si>
  <si>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</si>
  <si>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</si>
  <si>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</si>
  <si>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</si>
  <si>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</si>
  <si>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</si>
  <si>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</si>
  <si>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</si>
  <si>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</si>
  <si>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</si>
  <si>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</si>
  <si>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</si>
  <si>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</si>
  <si>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</si>
  <si>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</si>
  <si>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</si>
  <si>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</si>
  <si>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</si>
  <si>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</si>
  <si>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</si>
  <si>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</si>
  <si>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</si>
  <si>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</si>
  <si>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</si>
  <si>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</si>
  <si>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</si>
  <si>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</si>
  <si>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</si>
  <si>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</si>
  <si>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</si>
  <si>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</si>
  <si>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</si>
  <si>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</si>
  <si>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</si>
  <si>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</si>
  <si>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</si>
  <si>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</si>
  <si>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</si>
  <si>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</si>
  <si>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</si>
  <si>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</si>
  <si>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</si>
  <si>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</si>
  <si>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</si>
  <si>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</si>
  <si>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</si>
  <si>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</si>
  <si>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</si>
  <si>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</si>
  <si>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</si>
  <si>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</si>
  <si>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</si>
  <si>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</si>
  <si>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</si>
  <si>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</si>
  <si>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</si>
  <si>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</si>
  <si>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</si>
  <si>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</si>
  <si>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</si>
  <si>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</si>
  <si>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</si>
  <si>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</si>
  <si>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</si>
  <si>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</si>
  <si>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</si>
  <si>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</si>
  <si>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</si>
  <si>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</si>
  <si>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</si>
  <si>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</si>
  <si>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</si>
  <si>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</si>
  <si>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</si>
  <si>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</si>
  <si>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</si>
  <si>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</si>
  <si>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</si>
  <si>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</si>
  <si>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</si>
  <si>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</si>
  <si>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</si>
  <si>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</si>
  <si>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</si>
  <si>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</si>
  <si>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</si>
  <si>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</si>
  <si>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</si>
  <si>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</si>
  <si>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</si>
  <si>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</si>
  <si>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</si>
  <si>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</si>
  <si>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</si>
  <si>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</si>
  <si>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</si>
  <si>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</si>
  <si>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</si>
  <si>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</si>
  <si>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</si>
  <si>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</si>
  <si>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</si>
  <si>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</si>
  <si>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</si>
  <si>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</si>
  <si>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</si>
  <si>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</si>
  <si>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</si>
  <si>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</si>
  <si>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</si>
  <si>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</si>
  <si>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</si>
  <si>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</si>
  <si>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</si>
  <si>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</si>
  <si>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</si>
  <si>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</si>
  <si>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</si>
  <si>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</si>
  <si>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</si>
  <si>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</si>
  <si>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</si>
  <si>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</si>
  <si>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</si>
  <si>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</si>
  <si>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</si>
  <si>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</si>
  <si>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</si>
  <si>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</si>
  <si>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</si>
  <si>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</si>
  <si>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</si>
  <si>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</si>
  <si>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</si>
  <si>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</si>
  <si>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</si>
  <si>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</si>
  <si>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</si>
  <si>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</si>
  <si>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</si>
  <si>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</si>
  <si>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</si>
  <si>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</si>
  <si>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</si>
  <si>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</si>
  <si>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</si>
  <si>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</si>
  <si>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</si>
  <si>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</si>
  <si>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</si>
  <si>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</si>
  <si>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</si>
  <si>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</si>
  <si>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</si>
  <si>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</si>
  <si>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</si>
  <si>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</si>
  <si>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</si>
  <si>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</si>
  <si>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</si>
  <si>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</si>
  <si>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</si>
  <si>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</si>
  <si>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</si>
  <si>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</si>
  <si>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</si>
  <si>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</si>
  <si>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</si>
  <si>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</si>
  <si>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</si>
  <si>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</si>
  <si>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</si>
  <si>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</si>
  <si>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</si>
  <si>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</si>
  <si>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</si>
  <si>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</si>
  <si>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</si>
  <si>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</si>
  <si>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</si>
  <si>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</si>
  <si>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</si>
  <si>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</si>
  <si>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</si>
  <si>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</si>
  <si>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</si>
  <si>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</si>
  <si>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</si>
  <si>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</si>
  <si>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</si>
  <si>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</si>
  <si>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</si>
  <si>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</si>
  <si>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</si>
  <si>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</si>
  <si>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</si>
  <si>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</si>
  <si>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</si>
  <si>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</si>
  <si>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</si>
  <si>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</si>
  <si>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</si>
  <si>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</si>
  <si>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</si>
  <si>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</si>
  <si>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</si>
  <si>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</si>
  <si>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</si>
  <si>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</si>
  <si>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</si>
  <si>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</si>
  <si>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</si>
  <si>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</si>
  <si>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</si>
  <si>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</si>
  <si>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</si>
  <si>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</si>
  <si>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</si>
  <si>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</si>
  <si>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</si>
  <si>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</si>
  <si>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</si>
  <si>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</si>
  <si>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</si>
  <si>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</si>
  <si>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</si>
  <si>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</si>
  <si>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</si>
  <si>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</si>
  <si>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</si>
  <si>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</si>
  <si>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</si>
  <si>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</si>
  <si>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</si>
  <si>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</si>
  <si>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</si>
  <si>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</si>
  <si>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</si>
  <si>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</si>
  <si>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</si>
  <si>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</si>
  <si>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</si>
  <si>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</si>
  <si>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</si>
  <si>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</si>
  <si>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</si>
  <si>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</si>
  <si>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</si>
  <si>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</si>
  <si>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</si>
  <si>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</si>
  <si>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</si>
  <si>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</si>
  <si>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</si>
  <si>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</si>
  <si>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</si>
  <si>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</si>
  <si>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</si>
  <si>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</si>
  <si>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</si>
  <si>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</si>
  <si>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</si>
  <si>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</si>
  <si>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</si>
  <si>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</si>
  <si>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</si>
  <si>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</si>
  <si>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</si>
  <si>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</si>
  <si>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</si>
  <si>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</si>
  <si>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</si>
  <si>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</si>
  <si>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</si>
  <si>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</si>
  <si>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</si>
  <si>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</si>
  <si>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</si>
  <si>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</si>
  <si>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</si>
  <si>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</si>
  <si>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</si>
  <si>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</si>
  <si>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</si>
  <si>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</si>
  <si>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</si>
  <si>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</si>
  <si>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</si>
  <si>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</si>
  <si>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</si>
  <si>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</si>
  <si>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</si>
  <si>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</si>
  <si>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</si>
  <si>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</si>
  <si>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</si>
  <si>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</si>
  <si>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</si>
  <si>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</si>
  <si>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</si>
  <si>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</si>
  <si>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</si>
  <si>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</si>
  <si>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</si>
  <si>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</si>
  <si>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</si>
  <si>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</si>
  <si>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</si>
  <si>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</si>
  <si>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</si>
  <si>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</si>
  <si>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</si>
  <si>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</si>
  <si>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</si>
  <si>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</si>
  <si>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</si>
  <si>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</si>
  <si>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</si>
  <si>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</si>
  <si>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</si>
  <si>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</si>
  <si>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</si>
  <si>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</si>
  <si>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</si>
  <si>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</si>
  <si>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</si>
  <si>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</si>
  <si>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</si>
  <si>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</si>
  <si>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</si>
  <si>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</si>
  <si>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</si>
  <si>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</si>
  <si>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</si>
  <si>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</si>
  <si>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</si>
  <si>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</si>
  <si>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</si>
  <si>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</si>
  <si>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</si>
  <si>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</si>
  <si>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</si>
  <si>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</si>
  <si>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</si>
  <si>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</si>
  <si>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</si>
  <si>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</si>
  <si>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</si>
  <si>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</si>
  <si>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</si>
  <si>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</si>
  <si>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</si>
  <si>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</si>
  <si>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</si>
  <si>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</si>
  <si>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</si>
  <si>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</si>
  <si>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</si>
  <si>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</si>
  <si>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</si>
  <si>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</si>
  <si>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</si>
  <si>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</si>
  <si>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</si>
  <si>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</si>
  <si>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</si>
  <si>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</si>
  <si>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</si>
  <si>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</si>
  <si>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</si>
  <si>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</si>
  <si>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</si>
  <si>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</si>
  <si>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</si>
  <si>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</si>
  <si>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</si>
  <si>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</si>
  <si>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</si>
  <si>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</si>
  <si>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</si>
  <si>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</si>
  <si>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</si>
  <si>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</si>
  <si>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</si>
  <si>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</si>
  <si>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</si>
  <si>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</si>
  <si>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</si>
  <si>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</si>
  <si>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</si>
  <si>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</si>
  <si>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</si>
  <si>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</si>
  <si>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</si>
  <si>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</si>
  <si>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</si>
  <si>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</si>
  <si>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</si>
  <si>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</si>
  <si>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</si>
  <si>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</si>
  <si>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</si>
  <si>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</si>
  <si>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</si>
  <si>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</si>
  <si>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</si>
  <si>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</si>
  <si>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</si>
  <si>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</si>
  <si>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</si>
  <si>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</si>
  <si>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</si>
  <si>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</si>
  <si>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</si>
  <si>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</si>
  <si>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</si>
  <si>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</si>
  <si>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</si>
  <si>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</si>
  <si>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</si>
  <si>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</si>
  <si>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</si>
  <si>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</si>
  <si>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</si>
  <si>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</si>
  <si>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</si>
  <si>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</si>
  <si>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</si>
  <si>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</si>
  <si>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</si>
  <si>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</si>
  <si>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</si>
  <si>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</si>
  <si>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</si>
  <si>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</si>
  <si>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</si>
  <si>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</si>
  <si>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</si>
  <si>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</si>
  <si>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</si>
  <si>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</si>
  <si>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</si>
  <si>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</si>
  <si>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</si>
  <si>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</si>
  <si>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</si>
  <si>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</si>
  <si>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</si>
  <si>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</si>
  <si>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</si>
  <si>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</si>
  <si>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</si>
  <si>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</si>
  <si>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</si>
  <si>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</si>
  <si>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</si>
  <si>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</si>
  <si>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</si>
  <si>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</si>
  <si>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</si>
  <si>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</si>
  <si>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</si>
  <si>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</si>
  <si>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</si>
  <si>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</si>
  <si>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</si>
  <si>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</si>
  <si>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</si>
  <si>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</si>
  <si>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</si>
  <si>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</si>
  <si>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</si>
  <si>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</si>
  <si>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</si>
  <si>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</si>
  <si>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</si>
  <si>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</si>
  <si>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</si>
  <si>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</si>
  <si>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</si>
  <si>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</si>
  <si>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</si>
  <si>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</si>
  <si>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</si>
  <si>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</si>
  <si>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</si>
  <si>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</si>
  <si>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</si>
  <si>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</si>
  <si>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</si>
  <si>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</si>
  <si>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</si>
  <si>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</si>
  <si>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</si>
  <si>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</si>
  <si>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</si>
  <si>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</si>
  <si>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</si>
  <si>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</si>
  <si>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</si>
  <si>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</si>
  <si>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</si>
  <si>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</si>
  <si>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</si>
  <si>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</si>
  <si>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</si>
  <si>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</si>
  <si>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</si>
  <si>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</si>
  <si>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</si>
  <si>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</si>
  <si>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</si>
  <si>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</si>
  <si>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</si>
  <si>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</si>
  <si>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</si>
  <si>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</si>
  <si>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</si>
  <si>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</si>
  <si>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</si>
  <si>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</si>
  <si>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</si>
  <si>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</si>
  <si>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</si>
  <si>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</si>
  <si>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</si>
  <si>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</si>
  <si>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</si>
  <si>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</si>
  <si>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</si>
  <si>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</si>
  <si>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</si>
  <si>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</si>
  <si>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</si>
  <si>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</si>
  <si>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</si>
  <si>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</si>
  <si>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</si>
  <si>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</si>
  <si>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</si>
  <si>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</si>
  <si>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</si>
  <si>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</si>
  <si>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</si>
  <si>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</si>
  <si>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</si>
  <si>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</si>
  <si>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</si>
  <si>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</si>
  <si>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</si>
  <si>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</si>
  <si>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</si>
  <si>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</si>
  <si>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</si>
  <si>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</si>
  <si>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</si>
  <si>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</si>
  <si>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</si>
  <si>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</si>
  <si>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</si>
  <si>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</si>
  <si>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</si>
  <si>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</si>
  <si>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</si>
  <si>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</si>
  <si>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</si>
  <si>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</si>
  <si>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</si>
  <si>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</si>
  <si>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</si>
  <si>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</si>
  <si>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</si>
  <si>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</si>
  <si>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</si>
  <si>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</si>
  <si>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</si>
  <si>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</si>
  <si>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</si>
  <si>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</si>
  <si>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</si>
  <si>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</si>
  <si>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</si>
  <si>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</si>
  <si>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</si>
  <si>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</si>
  <si>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</si>
  <si>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</si>
  <si>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</si>
  <si>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</si>
  <si>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</si>
  <si>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</si>
  <si>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</si>
  <si>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</si>
  <si>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</si>
  <si>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</si>
  <si>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</si>
  <si>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</si>
  <si>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</si>
  <si>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</si>
  <si>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</si>
  <si>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</si>
  <si>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</si>
  <si>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</si>
  <si>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</si>
  <si>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</si>
  <si>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</si>
  <si>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</si>
  <si>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</si>
  <si>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</si>
  <si>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</si>
  <si>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</si>
  <si>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</si>
  <si>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</si>
  <si>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</si>
  <si>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</si>
  <si>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</si>
  <si>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</si>
  <si>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</si>
  <si>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</si>
  <si>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</si>
  <si>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</si>
  <si>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</si>
  <si>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</si>
  <si>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</si>
  <si>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</si>
  <si>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</si>
  <si>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</si>
  <si>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</si>
  <si>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</si>
  <si>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</si>
  <si>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</si>
  <si>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</si>
  <si>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</si>
  <si>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</si>
  <si>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</si>
  <si>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</si>
  <si>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</si>
  <si>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</si>
  <si>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</si>
  <si>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</si>
  <si>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</si>
  <si>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</si>
  <si>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</si>
  <si>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</si>
  <si>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</si>
  <si>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</si>
  <si>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</si>
  <si>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</si>
  <si>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</si>
  <si>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</si>
  <si>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</si>
  <si>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</si>
  <si>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</si>
  <si>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</si>
  <si>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</si>
  <si>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</si>
  <si>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</si>
  <si>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</si>
  <si>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</si>
  <si>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</si>
  <si>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</si>
  <si>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</si>
  <si>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</si>
  <si>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</si>
  <si>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</si>
  <si>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</si>
  <si>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</si>
  <si>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</si>
  <si>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</si>
  <si>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</si>
  <si>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</si>
  <si>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</si>
  <si>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</si>
  <si>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</si>
  <si>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</si>
  <si>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</si>
  <si>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</si>
  <si>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</si>
  <si>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</si>
  <si>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</si>
  <si>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</si>
  <si>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</si>
  <si>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</si>
  <si>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</si>
  <si>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</si>
  <si>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</si>
  <si>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</si>
  <si>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</si>
  <si>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</si>
  <si>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</si>
  <si>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</si>
  <si>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</si>
  <si>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</si>
  <si>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</si>
  <si>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</si>
  <si>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</si>
  <si>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</si>
  <si>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</si>
  <si>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</si>
  <si>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</si>
  <si>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</si>
  <si>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</si>
  <si>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</si>
  <si>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</si>
  <si>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</si>
  <si>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</si>
  <si>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</si>
  <si>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</si>
  <si>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</si>
  <si>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</si>
  <si>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</si>
  <si>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</si>
  <si>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</si>
  <si>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</si>
  <si>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</si>
  <si>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</si>
  <si>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</si>
  <si>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</si>
  <si>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</si>
  <si>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</si>
  <si>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</si>
  <si>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</si>
  <si>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</si>
  <si>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</si>
  <si>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</si>
  <si>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</si>
  <si>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</si>
  <si>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</si>
  <si>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</si>
  <si>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</si>
  <si>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</si>
  <si>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</si>
  <si>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</si>
  <si>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</si>
  <si>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</si>
  <si>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</si>
  <si>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</si>
  <si>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</si>
  <si>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</si>
  <si>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</si>
  <si>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</si>
  <si>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</si>
  <si>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</si>
  <si>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</si>
  <si>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</si>
  <si>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</si>
  <si>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</si>
  <si>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</si>
  <si>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</si>
  <si>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</si>
  <si>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</si>
  <si>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</si>
  <si>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</si>
  <si>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</si>
  <si>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</si>
  <si>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</si>
  <si>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</si>
  <si>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</si>
  <si>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</si>
  <si>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</si>
  <si>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</si>
  <si>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</si>
  <si>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</si>
  <si>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</si>
  <si>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</si>
  <si>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</si>
  <si>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</si>
  <si>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</si>
  <si>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</si>
  <si>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</si>
  <si>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</si>
  <si>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</si>
  <si>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</si>
  <si>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</si>
  <si>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</si>
  <si>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</si>
  <si>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</si>
  <si>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</si>
  <si>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</si>
  <si>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</si>
  <si>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</si>
  <si>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</si>
  <si>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</si>
  <si>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</si>
  <si>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</si>
  <si>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</si>
  <si>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</si>
  <si>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</si>
  <si>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</si>
  <si>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</si>
  <si>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</si>
  <si>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</si>
  <si>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</si>
  <si>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</si>
  <si>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</si>
  <si>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</si>
  <si>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</si>
  <si>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</si>
  <si>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</si>
  <si>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</si>
  <si>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</si>
  <si>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</si>
  <si>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</si>
  <si>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</si>
  <si>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</si>
  <si>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</si>
  <si>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</si>
  <si>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</si>
  <si>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</si>
  <si>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</si>
  <si>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</si>
  <si>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</si>
  <si>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</si>
  <si>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</si>
  <si>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</si>
  <si>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</si>
  <si>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</si>
  <si>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</si>
  <si>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</si>
  <si>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</si>
  <si>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</si>
  <si>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</si>
  <si>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</si>
  <si>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</si>
  <si>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</si>
  <si>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</si>
  <si>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</si>
  <si>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</si>
  <si>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</si>
  <si>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</si>
  <si>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</si>
  <si>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</si>
  <si>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</si>
  <si>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</si>
  <si>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</si>
  <si>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</si>
  <si>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</si>
  <si>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</si>
  <si>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</si>
  <si>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</si>
  <si>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</si>
  <si>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</si>
  <si>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</si>
  <si>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</si>
  <si>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</si>
  <si>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</si>
  <si>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</si>
  <si>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</si>
  <si>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</si>
  <si>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</si>
  <si>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</si>
  <si>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</si>
  <si>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</si>
  <si>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</si>
  <si>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</si>
  <si>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</si>
  <si>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</si>
  <si>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</si>
  <si>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</si>
  <si>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</si>
  <si>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</si>
  <si>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</si>
  <si>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</si>
  <si>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</si>
  <si>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</si>
  <si>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</si>
  <si>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</si>
  <si>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</si>
  <si>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</si>
  <si>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</si>
  <si>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</si>
  <si>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</si>
  <si>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</si>
  <si>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</si>
  <si>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</si>
  <si>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</si>
  <si>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</si>
  <si>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</si>
  <si>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</si>
  <si>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</si>
  <si>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</si>
  <si>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</si>
  <si>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</si>
  <si>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</si>
  <si>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</si>
  <si>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</si>
  <si>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</si>
  <si>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</si>
  <si>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</si>
  <si>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</si>
  <si>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</si>
  <si>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</si>
  <si>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</si>
  <si>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</si>
  <si>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</si>
  <si>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</si>
  <si>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</si>
  <si>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</si>
  <si>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</si>
  <si>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</si>
  <si>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</si>
  <si>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</si>
  <si>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</si>
  <si>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</si>
  <si>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</si>
  <si>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</si>
  <si>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</si>
  <si>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</si>
  <si>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</si>
  <si>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</si>
  <si>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</si>
  <si>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</si>
  <si>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</si>
  <si>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</si>
  <si>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</si>
  <si>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</si>
  <si>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</si>
  <si>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</si>
  <si>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</si>
  <si>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</si>
  <si>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</si>
  <si>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</si>
  <si>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</si>
  <si>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</si>
  <si>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</si>
  <si>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</si>
  <si>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</si>
  <si>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</si>
  <si>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</si>
  <si>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</si>
  <si>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</si>
  <si>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</si>
  <si>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</si>
  <si>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</si>
  <si>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</si>
  <si>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</si>
  <si>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</si>
  <si>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</si>
  <si>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</si>
  <si>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</si>
  <si>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</si>
  <si>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</si>
  <si>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</si>
  <si>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</si>
  <si>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</si>
  <si>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</si>
  <si>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</si>
  <si>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</si>
  <si>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</si>
  <si>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</si>
  <si>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</si>
  <si>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</si>
  <si>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</si>
  <si>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</si>
  <si>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</si>
  <si>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</si>
  <si>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</si>
  <si>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</si>
  <si>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</si>
  <si>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</si>
  <si>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</si>
  <si>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</si>
  <si>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</si>
  <si>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</si>
  <si>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</si>
  <si>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</si>
  <si>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</si>
  <si>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</si>
  <si>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</si>
  <si>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</si>
  <si>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</si>
  <si>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</si>
  <si>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</si>
  <si>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</si>
  <si>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</si>
  <si>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</si>
  <si>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</si>
  <si>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</si>
  <si>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</si>
  <si>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</si>
  <si>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</si>
  <si>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</si>
  <si>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</si>
  <si>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</si>
  <si>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</si>
  <si>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</si>
  <si>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</si>
  <si>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</si>
  <si>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</si>
  <si>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</si>
  <si>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</si>
  <si>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</si>
  <si>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</si>
  <si>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</si>
  <si>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</si>
  <si>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</si>
  <si>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</si>
  <si>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</si>
  <si>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</si>
  <si>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</si>
  <si>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</si>
  <si>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</si>
  <si>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</si>
  <si>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</si>
  <si>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</si>
  <si>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</si>
  <si>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</si>
  <si>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</si>
  <si>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</si>
  <si>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</si>
  <si>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</si>
  <si>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</si>
  <si>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</si>
  <si>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</si>
  <si>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</si>
  <si>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</si>
  <si>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</si>
  <si>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</si>
  <si>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</si>
  <si>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</si>
  <si>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</si>
  <si>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</si>
  <si>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</si>
  <si>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</si>
  <si>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</si>
  <si>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</si>
  <si>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</si>
  <si>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</si>
  <si>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</si>
  <si>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</si>
  <si>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</si>
  <si>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</si>
  <si>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</si>
  <si>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</si>
  <si>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</si>
  <si>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</si>
  <si>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</si>
  <si>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</si>
  <si>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</si>
  <si>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</si>
  <si>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</si>
  <si>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</si>
  <si>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</si>
  <si>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</si>
  <si>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</si>
  <si>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</si>
  <si>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</si>
  <si>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</si>
  <si>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</si>
  <si>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</si>
  <si>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</si>
  <si>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</si>
  <si>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</si>
  <si>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</si>
  <si>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</si>
  <si>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</si>
  <si>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</si>
  <si>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</si>
  <si>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</si>
  <si>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</si>
  <si>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</si>
  <si>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</si>
  <si>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</si>
  <si>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</si>
  <si>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</si>
  <si>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</si>
  <si>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</si>
  <si>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</si>
  <si>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</si>
  <si>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</si>
  <si>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</si>
  <si>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</si>
  <si>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</si>
  <si>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</si>
  <si>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</si>
  <si>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</si>
  <si>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</si>
  <si>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</si>
  <si>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</si>
  <si>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</si>
  <si>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</si>
  <si>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</si>
  <si>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</si>
  <si>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</si>
  <si>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</si>
  <si>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</si>
  <si>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</si>
  <si>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</si>
  <si>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</si>
  <si>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</si>
  <si>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</si>
  <si>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</si>
  <si>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</si>
  <si>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</si>
  <si>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</si>
  <si>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</si>
  <si>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</si>
  <si>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</si>
  <si>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</si>
  <si>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</si>
  <si>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</si>
  <si>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</si>
  <si>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</si>
  <si>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</si>
  <si>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</si>
  <si>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</si>
  <si>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</si>
  <si>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</si>
  <si>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</si>
  <si>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</si>
  <si>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</si>
  <si>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</si>
  <si>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</si>
  <si>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</si>
  <si>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</si>
  <si>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</si>
  <si>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</si>
  <si>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</si>
  <si>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</si>
  <si>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</si>
  <si>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</si>
  <si>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</si>
  <si>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</si>
  <si>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</si>
  <si>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</si>
  <si>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</si>
  <si>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</si>
  <si>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</si>
  <si>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</si>
  <si>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</si>
  <si>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</si>
  <si>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</si>
  <si>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</si>
  <si>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</si>
  <si>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</si>
  <si>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</si>
  <si>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</si>
  <si>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</si>
  <si>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</si>
  <si>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</si>
  <si>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</si>
  <si>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</si>
  <si>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</si>
  <si>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</si>
  <si>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</si>
  <si>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</si>
  <si>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</si>
  <si>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</si>
  <si>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</si>
  <si>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</si>
  <si>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</si>
  <si>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</si>
  <si>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</si>
  <si>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</si>
  <si>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</si>
  <si>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</si>
  <si>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</si>
  <si>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</si>
  <si>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</si>
  <si>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</si>
  <si>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</si>
  <si>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</si>
  <si>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</si>
  <si>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</si>
  <si>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</si>
  <si>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</si>
  <si>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</si>
  <si>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</si>
  <si>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</si>
  <si>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</si>
  <si>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</si>
  <si>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</si>
  <si>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</si>
  <si>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</si>
  <si>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</si>
  <si>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</si>
  <si>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</si>
  <si>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</si>
  <si>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</si>
  <si>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</si>
  <si>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</si>
  <si>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</si>
  <si>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</si>
  <si>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</si>
  <si>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</si>
  <si>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</si>
  <si>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</si>
  <si>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</si>
  <si>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</si>
  <si>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</si>
  <si>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</si>
  <si>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</si>
  <si>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</si>
  <si>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</si>
  <si>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</si>
  <si>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</si>
  <si>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</si>
  <si>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</si>
  <si>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</si>
  <si>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</si>
  <si>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</si>
  <si>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</si>
  <si>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</si>
  <si>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</si>
  <si>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</si>
  <si>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</si>
  <si>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</si>
  <si>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</si>
  <si>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</si>
  <si>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</si>
  <si>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</si>
  <si>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</si>
  <si>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</si>
  <si>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</si>
  <si>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</si>
  <si>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</si>
  <si>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</si>
  <si>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</si>
  <si>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</si>
  <si>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</si>
  <si>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</si>
  <si>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</si>
  <si>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</si>
  <si>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</si>
  <si>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</si>
  <si>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</si>
  <si>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</si>
  <si>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</si>
  <si>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</si>
  <si>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</si>
  <si>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</si>
  <si>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</si>
  <si>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</si>
  <si>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</si>
  <si>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</si>
  <si>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</si>
  <si>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</si>
  <si>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</si>
  <si>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</si>
  <si>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</si>
  <si>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</si>
  <si>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</si>
  <si>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</si>
  <si>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</si>
  <si>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</si>
  <si>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</si>
  <si>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</si>
  <si>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</si>
  <si>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</si>
  <si>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</si>
  <si>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</si>
  <si>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</si>
  <si>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</si>
  <si>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</si>
  <si>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</si>
  <si>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</si>
  <si>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</si>
  <si>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</si>
  <si>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</si>
  <si>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</si>
  <si>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</si>
  <si>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</si>
  <si>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</si>
  <si>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</si>
  <si>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</si>
  <si>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</si>
  <si>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</si>
  <si>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</si>
  <si>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</si>
  <si>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</si>
  <si>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</si>
  <si>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</si>
  <si>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</si>
  <si>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</si>
  <si>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</si>
  <si>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</si>
  <si>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</si>
  <si>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</si>
  <si>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</si>
  <si>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</si>
  <si>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</si>
  <si>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</si>
  <si>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</si>
  <si>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</si>
  <si>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</si>
  <si>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</si>
  <si>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</si>
  <si>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</si>
  <si>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</si>
  <si>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</si>
  <si>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</si>
  <si>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</si>
  <si>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</si>
  <si>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</si>
  <si>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</si>
  <si>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</si>
  <si>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</si>
  <si>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</si>
  <si>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</si>
  <si>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</si>
  <si>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</si>
  <si>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</si>
  <si>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</si>
  <si>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</si>
  <si>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</si>
  <si>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</si>
  <si>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</si>
  <si>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</si>
  <si>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</si>
  <si>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</si>
  <si>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</si>
  <si>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</si>
  <si>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</si>
  <si>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</si>
  <si>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</si>
  <si>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</si>
  <si>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</si>
  <si>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</si>
  <si>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</si>
  <si>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</si>
  <si>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</si>
  <si>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</si>
  <si>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</si>
  <si>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</si>
  <si>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</si>
  <si>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</si>
  <si>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</si>
  <si>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</si>
  <si>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</si>
  <si>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</si>
  <si>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</si>
  <si>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</si>
  <si>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</si>
  <si>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</si>
  <si>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</si>
  <si>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</si>
  <si>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</si>
  <si>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</si>
  <si>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</si>
  <si>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</si>
  <si>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</si>
  <si>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</si>
  <si>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</si>
  <si>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</si>
  <si>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</si>
  <si>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</si>
  <si>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</si>
  <si>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</si>
  <si>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</si>
  <si>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</si>
  <si>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</si>
  <si>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</si>
  <si>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</si>
  <si>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</si>
  <si>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</si>
  <si>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</si>
  <si>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</si>
  <si>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</si>
  <si>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</si>
  <si>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</si>
  <si>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</si>
  <si>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</si>
  <si>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</si>
  <si>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</si>
  <si>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</si>
  <si>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</si>
  <si>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</si>
  <si>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</si>
  <si>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</si>
  <si>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</si>
  <si>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</si>
  <si>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</si>
  <si>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</si>
  <si>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</si>
  <si>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</si>
  <si>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</si>
  <si>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</si>
  <si>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</si>
  <si>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</si>
  <si>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</si>
  <si>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</si>
  <si>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</si>
  <si>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</si>
  <si>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</si>
  <si>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</si>
  <si>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</si>
  <si>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</si>
  <si>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</si>
  <si>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</si>
  <si>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</si>
  <si>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</si>
  <si>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</si>
  <si>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</si>
  <si>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</si>
  <si>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</si>
  <si>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</si>
  <si>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</si>
  <si>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</si>
  <si>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</si>
  <si>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</si>
  <si>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</si>
  <si>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</si>
  <si>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</si>
  <si>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</si>
  <si>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</si>
  <si>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</si>
  <si>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</si>
  <si>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</si>
  <si>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</si>
  <si>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</si>
  <si>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</si>
  <si>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</si>
  <si>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</si>
  <si>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</si>
  <si>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</si>
  <si>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</si>
  <si>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</si>
  <si>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</si>
  <si>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</si>
  <si>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</si>
  <si>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</si>
  <si>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</si>
  <si>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</si>
  <si>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</si>
  <si>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</si>
  <si>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</si>
  <si>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</si>
  <si>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</si>
  <si>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</si>
  <si>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</si>
  <si>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</si>
  <si>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</si>
  <si>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</si>
  <si>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</si>
  <si>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</si>
  <si>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</si>
  <si>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</si>
  <si>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</si>
  <si>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</si>
  <si>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</si>
  <si>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</si>
  <si>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</si>
  <si>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</si>
  <si>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</si>
  <si>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</si>
  <si>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</si>
  <si>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</si>
  <si>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</si>
  <si>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</si>
  <si>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</si>
  <si>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</si>
  <si>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</si>
  <si>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</si>
  <si>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</si>
  <si>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</si>
  <si>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</si>
  <si>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</si>
  <si>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</si>
  <si>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</si>
  <si>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</si>
  <si>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</si>
  <si>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</si>
  <si>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</si>
  <si>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</si>
  <si>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</si>
  <si>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</si>
  <si>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</si>
  <si>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</si>
  <si>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</si>
  <si>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</si>
  <si>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</si>
  <si>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</si>
  <si>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</si>
  <si>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</si>
  <si>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</si>
  <si>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</si>
  <si>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</si>
  <si>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</si>
  <si>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</si>
  <si>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</si>
  <si>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</si>
  <si>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</si>
  <si>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</si>
  <si>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</si>
  <si>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</si>
  <si>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</si>
  <si>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</si>
  <si>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</si>
  <si>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</si>
  <si>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</si>
  <si>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</si>
  <si>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</si>
  <si>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</si>
  <si>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</si>
  <si>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</si>
  <si>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</si>
  <si>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</si>
  <si>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</si>
  <si>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</si>
  <si>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</si>
  <si>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</si>
  <si>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</si>
  <si>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</si>
  <si>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</si>
  <si>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</si>
  <si>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</si>
  <si>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</si>
  <si>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</si>
  <si>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</si>
  <si>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</si>
  <si>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</si>
  <si>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</si>
  <si>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</si>
  <si>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</si>
  <si>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</si>
  <si>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</si>
  <si>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</si>
  <si>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</si>
  <si>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</si>
  <si>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</si>
  <si>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</si>
  <si>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</si>
  <si>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</si>
  <si>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</si>
  <si>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</si>
  <si>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</si>
  <si>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</si>
  <si>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</si>
  <si>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</si>
  <si>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</si>
  <si>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</si>
  <si>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</si>
  <si>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</si>
  <si>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</si>
  <si>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</si>
  <si>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</si>
  <si>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</si>
  <si>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</si>
  <si>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</si>
  <si>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</si>
  <si>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</si>
  <si>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</si>
  <si>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</si>
  <si>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</si>
  <si>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</si>
  <si>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</si>
  <si>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</si>
  <si>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</si>
  <si>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</si>
  <si>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</si>
  <si>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</si>
  <si>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</si>
  <si>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</si>
  <si>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</si>
  <si>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</si>
  <si>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</si>
  <si>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</si>
  <si>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</si>
  <si>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</si>
  <si>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</si>
  <si>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</si>
  <si>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</si>
  <si>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</si>
  <si>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</si>
  <si>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</si>
  <si>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</si>
  <si>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</si>
  <si>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</si>
  <si>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</si>
  <si>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</si>
  <si>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</si>
  <si>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</si>
  <si>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</si>
  <si>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</si>
  <si>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</si>
  <si>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</si>
  <si>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</si>
  <si>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</si>
  <si>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</si>
  <si>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</si>
  <si>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</si>
  <si>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</si>
  <si>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</si>
  <si>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</si>
  <si>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</si>
  <si>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</si>
  <si>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</si>
  <si>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</si>
  <si>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</si>
  <si>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</si>
  <si>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</si>
  <si>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</si>
  <si>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</si>
  <si>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</si>
  <si>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</si>
  <si>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</si>
  <si>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</si>
  <si>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</si>
  <si>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</si>
  <si>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</si>
  <si>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</si>
  <si>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</si>
  <si>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</si>
  <si>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</si>
  <si>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</si>
  <si>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</si>
  <si>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</si>
  <si>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</si>
  <si>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</si>
  <si>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</si>
  <si>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</si>
  <si>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</si>
  <si>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</si>
  <si>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</si>
  <si>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</si>
  <si>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</si>
  <si>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</si>
  <si>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</si>
  <si>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</si>
  <si>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</si>
  <si>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</si>
  <si>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</si>
  <si>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</si>
  <si>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</si>
  <si>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</si>
  <si>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</si>
  <si>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</si>
  <si>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</si>
  <si>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</si>
  <si>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</si>
  <si>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</si>
  <si>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</si>
  <si>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</si>
  <si>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</si>
  <si>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</si>
  <si>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</si>
  <si>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</si>
  <si>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</si>
  <si>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</si>
  <si>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</si>
  <si>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</si>
  <si>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</si>
  <si>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</si>
  <si>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</si>
  <si>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</si>
  <si>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</si>
  <si>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</si>
  <si>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</si>
  <si>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</si>
  <si>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</si>
  <si>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</si>
  <si>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</si>
  <si>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</si>
  <si>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</si>
  <si>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</si>
  <si>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</si>
  <si>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</si>
  <si>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</si>
  <si>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</si>
  <si>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</si>
  <si>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</si>
  <si>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</si>
  <si>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</si>
  <si>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</si>
  <si>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</si>
  <si>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</si>
  <si>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</si>
  <si>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</si>
  <si>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</si>
  <si>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</si>
  <si>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</si>
  <si>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</si>
  <si>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</si>
  <si>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</si>
  <si>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</si>
  <si>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</si>
  <si>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</si>
  <si>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</si>
  <si>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</si>
  <si>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</si>
  <si>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</si>
  <si>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</si>
  <si>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</si>
  <si>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</si>
  <si>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</si>
  <si>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</si>
  <si>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</si>
  <si>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</si>
  <si>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</si>
  <si>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</si>
  <si>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</si>
  <si>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</si>
  <si>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</si>
  <si>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</si>
  <si>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</si>
  <si>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</si>
  <si>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</si>
  <si>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</si>
  <si>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</si>
  <si>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</si>
  <si>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</si>
  <si>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</si>
  <si>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</si>
  <si>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</si>
  <si>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</si>
  <si>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</si>
  <si>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</si>
  <si>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</si>
  <si>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</si>
  <si>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</si>
  <si>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</si>
  <si>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</si>
  <si>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</si>
  <si>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</si>
  <si>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</si>
  <si>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</si>
  <si>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</si>
  <si>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</si>
  <si>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</si>
  <si>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</si>
  <si>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</si>
  <si>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</si>
  <si>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</si>
  <si>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</si>
  <si>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</si>
  <si>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</si>
  <si>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</si>
  <si>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</si>
  <si>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</si>
  <si>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</si>
  <si>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</si>
  <si>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</si>
  <si>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</si>
  <si>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</si>
  <si>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</si>
  <si>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</si>
  <si>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</si>
  <si>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</si>
  <si>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</si>
  <si>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</si>
  <si>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</si>
  <si>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</si>
  <si>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</si>
  <si>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</si>
  <si>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</si>
  <si>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</si>
  <si>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</si>
  <si>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</si>
  <si>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</si>
  <si>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</si>
  <si>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</si>
  <si>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</si>
  <si>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</si>
  <si>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</si>
  <si>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</si>
  <si>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</si>
  <si>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</si>
  <si>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</si>
  <si>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</si>
  <si>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</si>
  <si>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</si>
  <si>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</si>
  <si>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</si>
  <si>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</si>
  <si>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</si>
  <si>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</si>
  <si>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</si>
  <si>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</si>
  <si>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</si>
  <si>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</si>
  <si>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</si>
  <si>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</si>
  <si>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</si>
  <si>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</si>
  <si>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</si>
  <si>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</si>
  <si>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</si>
  <si>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</si>
  <si>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</si>
  <si>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</si>
  <si>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</si>
  <si>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</si>
  <si>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</si>
  <si>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</si>
  <si>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</si>
  <si>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</si>
  <si>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</si>
  <si>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</si>
  <si>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</si>
  <si>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</si>
  <si>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</si>
  <si>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</si>
  <si>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</si>
  <si>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</si>
  <si>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</si>
  <si>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</si>
  <si>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</si>
  <si>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</si>
  <si>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</si>
  <si>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</si>
  <si>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</si>
  <si>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</si>
  <si>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</si>
  <si>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</si>
  <si>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</si>
  <si>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</si>
  <si>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</si>
  <si>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</si>
  <si>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</si>
  <si>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</si>
  <si>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</si>
  <si>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</si>
  <si>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</si>
  <si>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</si>
  <si>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</si>
  <si>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</si>
  <si>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</si>
  <si>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</si>
  <si>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</si>
  <si>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</si>
  <si>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</si>
  <si>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</si>
  <si>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</si>
  <si>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</si>
  <si>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</si>
  <si>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</si>
  <si>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</si>
  <si>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</si>
  <si>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</si>
  <si>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</si>
  <si>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</si>
  <si>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</si>
  <si>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</si>
  <si>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</si>
  <si>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</si>
  <si>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</si>
  <si>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</si>
  <si>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</si>
  <si>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</si>
  <si>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</si>
  <si>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</si>
  <si>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</si>
  <si>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</si>
  <si>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</si>
  <si>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</si>
  <si>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</si>
  <si>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</si>
  <si>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</si>
  <si>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</si>
  <si>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</si>
  <si>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</si>
  <si>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</si>
  <si>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</si>
  <si>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</si>
  <si>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</si>
  <si>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</si>
  <si>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</si>
  <si>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</si>
  <si>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</si>
  <si>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</si>
  <si>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</si>
  <si>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</si>
  <si>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</si>
  <si>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</si>
  <si>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</si>
  <si>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</si>
  <si>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</si>
  <si>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</si>
  <si>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</si>
  <si>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</si>
  <si>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</si>
  <si>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</si>
  <si>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</si>
  <si>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</si>
  <si>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</si>
  <si>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</si>
  <si>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</si>
  <si>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</si>
  <si>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</si>
  <si>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</si>
  <si>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</si>
  <si>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</si>
  <si>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</si>
  <si>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</si>
  <si>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</si>
  <si>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</si>
  <si>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</si>
  <si>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</si>
  <si>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</si>
  <si>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</si>
  <si>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</si>
  <si>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</si>
  <si>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</si>
  <si>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</si>
  <si>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</si>
  <si>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</si>
  <si>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</si>
  <si>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</si>
  <si>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</si>
  <si>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</si>
  <si>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</si>
  <si>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</si>
  <si>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</si>
  <si>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</si>
  <si>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</si>
  <si>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</si>
  <si>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</si>
  <si>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</si>
  <si>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</si>
  <si>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</si>
  <si>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</si>
  <si>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</si>
  <si>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</si>
  <si>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</si>
  <si>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</si>
  <si>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</si>
  <si>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</si>
  <si>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</si>
  <si>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</si>
  <si>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</si>
  <si>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</si>
  <si>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</si>
  <si>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</si>
  <si>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</si>
  <si>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</si>
  <si>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</si>
  <si>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</si>
  <si>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</si>
  <si>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</si>
  <si>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</si>
  <si>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</si>
  <si>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</si>
  <si>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</si>
  <si>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</si>
  <si>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</si>
  <si>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</si>
  <si>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</si>
  <si>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</si>
  <si>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</si>
  <si>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</si>
  <si>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</si>
  <si>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</si>
  <si>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</si>
  <si>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</si>
  <si>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</si>
  <si>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</si>
  <si>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</si>
  <si>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</si>
  <si>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</si>
  <si>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</si>
  <si>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</si>
  <si>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</si>
  <si>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</si>
  <si>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</si>
  <si>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</si>
  <si>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</si>
  <si>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</si>
  <si>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</si>
  <si>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</si>
  <si>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</si>
  <si>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</si>
  <si>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</si>
  <si>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</si>
  <si>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</si>
  <si>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</si>
  <si>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</si>
  <si>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</si>
  <si>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</si>
  <si>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</si>
  <si>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</si>
  <si>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</si>
  <si>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</si>
  <si>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</si>
  <si>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</si>
  <si>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</si>
  <si>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</si>
  <si>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</si>
  <si>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</si>
  <si>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</si>
  <si>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</si>
  <si>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</si>
  <si>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</si>
  <si>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</si>
  <si>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</si>
  <si>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</si>
  <si>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</si>
  <si>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</si>
  <si>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</si>
  <si>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</si>
  <si>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</si>
  <si>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</si>
  <si>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</si>
  <si>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</si>
  <si>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</si>
  <si>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</si>
  <si>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</si>
  <si>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</si>
  <si>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</si>
  <si>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</si>
  <si>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</si>
  <si>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</si>
  <si>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</si>
  <si>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</si>
  <si>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</si>
  <si>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</si>
  <si>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</si>
  <si>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</si>
  <si>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</si>
  <si>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</si>
  <si>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</si>
  <si>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</si>
  <si>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</si>
  <si>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</si>
  <si>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</si>
  <si>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</si>
  <si>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</si>
  <si>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</si>
  <si>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</si>
  <si>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</si>
  <si>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</si>
  <si>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</si>
  <si>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</si>
  <si>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</si>
  <si>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</si>
  <si>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</si>
  <si>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</si>
  <si>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</si>
  <si>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</si>
  <si>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</si>
  <si>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</si>
  <si>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</si>
  <si>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</si>
  <si>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</si>
  <si>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</si>
  <si>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</si>
  <si>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</si>
  <si>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</si>
  <si>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</si>
  <si>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</si>
  <si>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</si>
  <si>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</si>
  <si>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</si>
  <si>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</si>
  <si>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</si>
  <si>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</si>
  <si>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</si>
  <si>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</si>
  <si>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</si>
  <si>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</si>
  <si>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</si>
  <si>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</si>
  <si>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</si>
  <si>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</si>
  <si>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</si>
  <si>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</si>
  <si>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</si>
  <si>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</si>
  <si>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</si>
  <si>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</si>
  <si>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</si>
  <si>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</si>
  <si>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</si>
  <si>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</si>
  <si>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</si>
  <si>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</si>
  <si>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</si>
  <si>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</si>
  <si>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</si>
  <si>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</si>
  <si>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</si>
  <si>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</si>
  <si>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</si>
  <si>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</si>
  <si>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</si>
  <si>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</si>
  <si>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</si>
  <si>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</si>
  <si>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</si>
  <si>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</si>
  <si>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</si>
  <si>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</si>
  <si>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</si>
  <si>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</si>
  <si>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</si>
  <si>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</si>
  <si>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</si>
  <si>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</si>
  <si>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</si>
  <si>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</si>
  <si>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</si>
  <si>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</si>
  <si>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</si>
  <si>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</si>
  <si>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</si>
  <si>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</si>
  <si>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</si>
  <si>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</si>
  <si>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</si>
  <si>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</si>
  <si>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</si>
  <si>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</si>
  <si>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</si>
  <si>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</si>
  <si>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</si>
  <si>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</si>
  <si>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</si>
  <si>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</si>
  <si>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</si>
  <si>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</si>
  <si>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</si>
  <si>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</si>
  <si>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</si>
  <si>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</si>
  <si>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</si>
  <si>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</si>
  <si>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</si>
  <si>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</si>
  <si>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</si>
  <si>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</si>
  <si>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</si>
  <si>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</si>
  <si>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</si>
  <si>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</si>
  <si>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</si>
  <si>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</si>
  <si>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</si>
  <si>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</si>
  <si>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</si>
  <si>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</si>
  <si>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</si>
  <si>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</si>
  <si>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</si>
  <si>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</si>
  <si>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</si>
  <si>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</si>
  <si>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</si>
  <si>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</si>
  <si>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</si>
  <si>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</si>
  <si>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</si>
  <si>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</si>
  <si>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</si>
  <si>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</si>
  <si>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</si>
  <si>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</si>
  <si>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</si>
  <si>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</si>
  <si>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</si>
  <si>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</si>
  <si>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</si>
  <si>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</si>
  <si>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</si>
  <si>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</si>
  <si>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</si>
  <si>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</si>
  <si>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</si>
  <si>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</si>
  <si>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</si>
  <si>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</si>
  <si>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</si>
  <si>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</si>
  <si>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</si>
  <si>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</si>
  <si>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</si>
  <si>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</si>
  <si>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</si>
  <si>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</si>
  <si>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</si>
  <si>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</si>
  <si>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</si>
  <si>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</si>
  <si>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</si>
  <si>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</si>
  <si>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</si>
  <si>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</si>
  <si>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</si>
  <si>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</si>
  <si>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</si>
  <si>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</si>
  <si>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</si>
  <si>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</si>
  <si>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</si>
  <si>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</si>
  <si>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</si>
  <si>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</si>
  <si>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</si>
  <si>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</si>
  <si>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</si>
  <si>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</si>
  <si>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</si>
  <si>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</si>
  <si>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</si>
  <si>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</si>
  <si>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</si>
  <si>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</si>
  <si>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</si>
  <si>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</si>
  <si>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</si>
  <si>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</si>
  <si>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</si>
  <si>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</si>
  <si>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</si>
  <si>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</si>
  <si>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</si>
  <si>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</si>
  <si>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</si>
  <si>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</si>
  <si>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</si>
  <si>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</si>
  <si>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</si>
  <si>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</si>
  <si>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</si>
  <si>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</si>
  <si>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</si>
  <si>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</si>
  <si>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</si>
  <si>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</si>
  <si>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</si>
  <si>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</si>
  <si>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</si>
  <si>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</si>
  <si>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</si>
  <si>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</si>
  <si>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</si>
  <si>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</si>
  <si>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</si>
  <si>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</si>
  <si>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</si>
  <si>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</si>
  <si>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</si>
  <si>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</si>
  <si>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</si>
  <si>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</si>
  <si>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</si>
  <si>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</si>
  <si>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</si>
  <si>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</si>
  <si>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</si>
  <si>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</si>
  <si>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</si>
  <si>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</si>
  <si>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</si>
  <si>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</si>
  <si>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</si>
  <si>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</si>
  <si>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</si>
  <si>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</si>
  <si>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</si>
  <si>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</si>
  <si>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</si>
  <si>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</si>
  <si>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</si>
  <si>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</si>
  <si>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</si>
  <si>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</si>
  <si>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</si>
  <si>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</si>
  <si>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</si>
  <si>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</si>
  <si>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</si>
  <si>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</si>
  <si>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</si>
  <si>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</si>
  <si>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</si>
  <si>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</si>
  <si>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</si>
  <si>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</si>
  <si>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</si>
  <si>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</si>
  <si>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</si>
  <si>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</si>
  <si>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</si>
  <si>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</si>
  <si>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</si>
  <si>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</si>
  <si>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</si>
  <si>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</si>
  <si>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</si>
  <si>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</si>
  <si>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</si>
  <si>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</si>
  <si>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</si>
  <si>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</si>
  <si>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</si>
  <si>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</si>
  <si>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</si>
  <si>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</si>
  <si>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</si>
  <si>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</si>
  <si>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</si>
  <si>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</si>
  <si>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</si>
  <si>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</si>
  <si>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</si>
  <si>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</si>
  <si>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</si>
  <si>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</si>
  <si>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</si>
  <si>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</si>
  <si>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</si>
  <si>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</si>
  <si>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</si>
  <si>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</si>
  <si>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</si>
  <si>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</si>
  <si>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</si>
  <si>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</si>
  <si>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</si>
  <si>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</si>
  <si>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</si>
  <si>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</si>
  <si>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</si>
  <si>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</si>
  <si>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</si>
  <si>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</si>
  <si>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</si>
  <si>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</si>
  <si>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</si>
  <si>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</si>
  <si>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</si>
  <si>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</si>
  <si>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</si>
  <si>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</si>
  <si>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</si>
  <si>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</si>
  <si>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</si>
  <si>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</si>
  <si>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</si>
  <si>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</si>
  <si>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</si>
  <si>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</si>
  <si>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</si>
  <si>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</si>
  <si>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</si>
  <si>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</si>
  <si>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</si>
  <si>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</si>
  <si>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</si>
  <si>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</si>
  <si>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</si>
  <si>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</si>
  <si>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</si>
  <si>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</si>
  <si>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</si>
  <si>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</si>
  <si>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</si>
  <si>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</si>
  <si>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</si>
  <si>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</si>
  <si>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</si>
  <si>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</si>
  <si>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</si>
  <si>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</si>
  <si>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</si>
  <si>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</si>
  <si>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</si>
  <si>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</si>
  <si>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</si>
  <si>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</si>
  <si>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</si>
  <si>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</si>
  <si>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</si>
  <si>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</si>
  <si>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</si>
  <si>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</si>
  <si>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</si>
  <si>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</si>
  <si>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</si>
  <si>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</si>
  <si>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</si>
  <si>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</si>
  <si>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</si>
  <si>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</si>
  <si>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</si>
  <si>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</si>
  <si>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</si>
  <si>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</si>
  <si>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</si>
  <si>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</si>
  <si>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</si>
  <si>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</si>
  <si>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</si>
  <si>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</si>
  <si>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</si>
  <si>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</si>
  <si>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</si>
  <si>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</si>
  <si>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</si>
  <si>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</si>
  <si>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</si>
  <si>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</si>
  <si>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</si>
  <si>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</si>
  <si>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</si>
  <si>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</si>
  <si>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</si>
  <si>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</si>
  <si>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</si>
  <si>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</si>
  <si>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</si>
  <si>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</si>
  <si>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</si>
  <si>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</si>
  <si>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</si>
  <si>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</si>
  <si>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</si>
  <si>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</si>
  <si>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</si>
  <si>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</si>
  <si>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</si>
  <si>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</si>
  <si>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</si>
  <si>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</si>
  <si>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</si>
  <si>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</si>
  <si>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</si>
  <si>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</si>
  <si>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</si>
  <si>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</si>
  <si>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</si>
  <si>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</si>
  <si>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</si>
  <si>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</si>
  <si>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</si>
  <si>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</si>
  <si>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</si>
  <si>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</si>
  <si>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</si>
  <si>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</si>
  <si>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</si>
  <si>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</si>
  <si>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</si>
  <si>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</si>
  <si>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</si>
  <si>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</si>
  <si>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</si>
  <si>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</si>
  <si>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</si>
  <si>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</si>
  <si>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</si>
  <si>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</si>
  <si>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</si>
  <si>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</si>
  <si>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</si>
  <si>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</si>
  <si>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</si>
  <si>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</si>
  <si>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</si>
  <si>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</si>
  <si>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</si>
  <si>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</si>
  <si>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</si>
  <si>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</si>
  <si>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</si>
  <si>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</si>
  <si>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</si>
  <si>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</si>
  <si>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</si>
  <si>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</si>
  <si>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</si>
  <si>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</si>
  <si>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</si>
  <si>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</si>
  <si>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</si>
  <si>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</si>
  <si>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</si>
  <si>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</si>
  <si>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</si>
  <si>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</si>
  <si>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</si>
  <si>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</si>
  <si>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</si>
  <si>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</si>
  <si>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</si>
  <si>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</si>
  <si>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</si>
  <si>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</si>
  <si>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</si>
  <si>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</si>
  <si>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</si>
  <si>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</si>
  <si>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</si>
  <si>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</si>
  <si>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</si>
  <si>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</si>
  <si>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</si>
  <si>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</si>
  <si>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</si>
  <si>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</si>
  <si>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</si>
  <si>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</si>
  <si>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</si>
  <si>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</si>
  <si>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</si>
  <si>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</si>
  <si>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</si>
  <si>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</si>
  <si>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</si>
  <si>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</si>
  <si>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</si>
  <si>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</si>
  <si>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</si>
  <si>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</si>
  <si>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</si>
  <si>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</si>
  <si>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</si>
  <si>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</si>
  <si>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</si>
  <si>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</si>
  <si>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</si>
  <si>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</si>
  <si>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</si>
  <si>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</si>
  <si>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</si>
  <si>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</si>
  <si>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</si>
  <si>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</si>
  <si>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</si>
  <si>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</si>
  <si>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</si>
  <si>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</si>
  <si>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</si>
  <si>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</si>
  <si>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</si>
  <si>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</si>
  <si>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</si>
  <si>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</si>
  <si>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</si>
  <si>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</si>
  <si>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</si>
  <si>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</si>
  <si>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</si>
  <si>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</si>
  <si>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</si>
  <si>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</si>
  <si>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</si>
  <si>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</si>
  <si>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</si>
  <si>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</si>
  <si>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</si>
  <si>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</si>
  <si>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</si>
  <si>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</si>
  <si>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</si>
  <si>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</si>
  <si>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</si>
  <si>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</si>
  <si>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</si>
  <si>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</si>
  <si>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</si>
  <si>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</si>
  <si>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</si>
  <si>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</si>
  <si>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</si>
  <si>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</si>
  <si>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</si>
  <si>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</si>
  <si>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</si>
  <si>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</si>
  <si>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</si>
  <si>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</si>
  <si>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</si>
  <si>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</si>
  <si>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</si>
  <si>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</si>
  <si>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</si>
  <si>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</si>
  <si>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</si>
  <si>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</si>
  <si>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</si>
  <si>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</si>
  <si>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</si>
  <si>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</si>
  <si>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</si>
  <si>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</si>
  <si>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</si>
  <si>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</si>
  <si>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</si>
  <si>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</si>
  <si>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</si>
  <si>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</si>
  <si>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</si>
  <si>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</si>
  <si>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</si>
  <si>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</si>
  <si>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</si>
  <si>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</si>
  <si>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</si>
  <si>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</si>
  <si>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</si>
  <si>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</si>
  <si>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</si>
  <si>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</si>
  <si>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</si>
  <si>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</si>
  <si>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</si>
  <si>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</si>
  <si>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</si>
  <si>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</si>
  <si>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</si>
  <si>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</si>
  <si>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</si>
  <si>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</si>
  <si>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</si>
  <si>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</si>
  <si>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</si>
  <si>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</si>
  <si>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</si>
  <si>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</si>
  <si>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</si>
  <si>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</si>
  <si>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</si>
  <si>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</si>
  <si>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</si>
  <si>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</si>
  <si>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</si>
  <si>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</si>
  <si>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</si>
  <si>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</si>
  <si>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</si>
  <si>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</si>
  <si>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</si>
  <si>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</si>
  <si>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</si>
  <si>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</si>
  <si>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</si>
  <si>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</si>
  <si>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</si>
  <si>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</si>
  <si>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</si>
  <si>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</si>
  <si>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</si>
  <si>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</si>
  <si>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</si>
  <si>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</si>
  <si>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</si>
  <si>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</si>
  <si>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</si>
  <si>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</si>
  <si>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</si>
  <si>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</si>
  <si>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</si>
  <si>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</si>
  <si>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</si>
  <si>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</si>
  <si>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</si>
  <si>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</si>
  <si>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</si>
  <si>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</si>
  <si>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</si>
  <si>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</si>
  <si>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</si>
  <si>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</si>
  <si>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</si>
  <si>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</si>
  <si>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</si>
  <si>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</si>
  <si>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</si>
  <si>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</si>
  <si>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</si>
  <si>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</si>
  <si>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</si>
  <si>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</si>
  <si>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</si>
  <si>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</si>
  <si>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</si>
  <si>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</si>
  <si>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</si>
  <si>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</si>
  <si>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</si>
  <si>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</si>
  <si>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</si>
  <si>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</si>
  <si>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</si>
  <si>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</si>
  <si>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</si>
  <si>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</si>
  <si>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</si>
  <si>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</si>
  <si>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</si>
  <si>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</si>
  <si>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</si>
  <si>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</si>
  <si>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</si>
  <si>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</si>
  <si>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</si>
  <si>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</si>
  <si>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</si>
  <si>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</si>
  <si>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</si>
  <si>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</si>
  <si>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</si>
  <si>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</si>
  <si>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</si>
  <si>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</si>
  <si>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</si>
  <si>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</si>
  <si>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</si>
  <si>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</si>
  <si>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</si>
  <si>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</si>
  <si>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</si>
  <si>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</si>
  <si>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</si>
  <si>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</si>
  <si>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</si>
  <si>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</si>
  <si>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</si>
  <si>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</si>
  <si>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</si>
  <si>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</si>
  <si>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</si>
  <si>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</si>
  <si>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</si>
  <si>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</si>
  <si>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</si>
  <si>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</si>
  <si>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</si>
  <si>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</si>
  <si>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</si>
  <si>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</si>
  <si>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</si>
  <si>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</si>
  <si>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</si>
  <si>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</si>
  <si>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</si>
  <si>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</si>
  <si>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</si>
  <si>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</si>
  <si>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</si>
  <si>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</si>
  <si>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</si>
  <si>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</si>
  <si>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</si>
  <si>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</si>
  <si>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</si>
  <si>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</si>
  <si>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</si>
  <si>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</si>
  <si>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</si>
  <si>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</si>
  <si>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</si>
  <si>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</si>
  <si>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</si>
  <si>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</si>
  <si>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</si>
  <si>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</si>
  <si>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</si>
  <si>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</si>
  <si>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</si>
  <si>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</si>
  <si>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</si>
  <si>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</si>
  <si>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</si>
  <si>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</si>
  <si>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</si>
  <si>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</si>
  <si>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</si>
  <si>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</si>
  <si>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</si>
  <si>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</si>
  <si>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</si>
  <si>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</si>
  <si>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</si>
  <si>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</si>
  <si>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</si>
  <si>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</si>
  <si>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</si>
  <si>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</si>
  <si>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</si>
  <si>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</si>
  <si>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</si>
  <si>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</si>
  <si>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</si>
  <si>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</si>
  <si>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</si>
  <si>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</si>
  <si>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</si>
  <si>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</si>
  <si>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</si>
  <si>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</si>
  <si>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</si>
  <si>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</si>
  <si>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</si>
  <si>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</si>
  <si>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</si>
  <si>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</si>
  <si>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</si>
  <si>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</si>
  <si>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</si>
  <si>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</si>
  <si>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</si>
  <si>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</si>
  <si>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</si>
  <si>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</si>
  <si>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</si>
  <si>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</si>
  <si>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</si>
  <si>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</si>
  <si>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</si>
  <si>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</si>
  <si>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</si>
  <si>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</si>
  <si>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</si>
  <si>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</si>
  <si>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</si>
  <si>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</si>
  <si>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</si>
  <si>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</si>
  <si>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</si>
  <si>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</si>
  <si>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</si>
  <si>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</si>
  <si>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</si>
  <si>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</si>
  <si>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</si>
  <si>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</si>
  <si>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</si>
  <si>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</si>
  <si>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</si>
  <si>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</si>
  <si>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</si>
  <si>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</si>
  <si>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</si>
  <si>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</si>
  <si>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</si>
  <si>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</si>
  <si>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</si>
  <si>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</si>
  <si>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</si>
  <si>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</si>
  <si>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</si>
  <si>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</si>
  <si>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</si>
  <si>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</si>
  <si>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</si>
  <si>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</si>
  <si>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</si>
  <si>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</si>
  <si>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</si>
  <si>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</si>
  <si>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</si>
  <si>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</si>
  <si>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</si>
  <si>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</si>
  <si>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</si>
  <si>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</si>
  <si>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</si>
  <si>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</si>
  <si>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</si>
  <si>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</si>
  <si>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</si>
  <si>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</si>
  <si>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</si>
  <si>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</si>
  <si>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</si>
  <si>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</si>
  <si>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</si>
  <si>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</si>
  <si>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</si>
  <si>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</si>
  <si>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</si>
  <si>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</si>
  <si>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</si>
  <si>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</si>
  <si>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</si>
  <si>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</si>
  <si>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</si>
  <si>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</si>
  <si>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</si>
  <si>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</si>
  <si>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</si>
  <si>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</si>
  <si>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</si>
  <si>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</si>
  <si>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</si>
  <si>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</si>
  <si>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</si>
  <si>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</si>
  <si>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</si>
  <si>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</si>
  <si>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</si>
  <si>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</si>
  <si>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</si>
  <si>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</si>
  <si>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</si>
  <si>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</si>
  <si>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</si>
  <si>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</si>
  <si>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</si>
  <si>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</si>
  <si>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</si>
  <si>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</si>
  <si>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</si>
  <si>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</si>
  <si>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</si>
  <si>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</si>
  <si>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</si>
  <si>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</si>
  <si>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</si>
  <si>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</si>
  <si>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</si>
  <si>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</si>
  <si>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</si>
  <si>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</si>
  <si>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</si>
  <si>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</si>
  <si>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</si>
  <si>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</si>
  <si>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</si>
  <si>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</si>
  <si>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</si>
  <si>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</si>
  <si>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</si>
  <si>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</si>
  <si>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</si>
  <si>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</si>
  <si>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</si>
  <si>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</si>
  <si>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</si>
  <si>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</si>
  <si>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</si>
  <si>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</si>
  <si>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</si>
  <si>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</si>
  <si>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</si>
  <si>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</si>
  <si>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</si>
  <si>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</si>
  <si>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</si>
  <si>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</si>
  <si>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</si>
  <si>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</si>
  <si>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</si>
  <si>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</si>
  <si>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</si>
  <si>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</si>
  <si>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</si>
  <si>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</si>
  <si>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</si>
  <si>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</si>
  <si>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</si>
  <si>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</si>
  <si>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</si>
  <si>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</si>
  <si>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</si>
  <si>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</si>
  <si>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</si>
  <si>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</si>
  <si>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</si>
  <si>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</si>
  <si>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</si>
  <si>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</si>
  <si>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</si>
  <si>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</si>
  <si>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</si>
  <si>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</si>
  <si>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</si>
  <si>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</si>
  <si>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</si>
  <si>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</si>
  <si>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</si>
  <si>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</si>
  <si>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</si>
  <si>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</si>
  <si>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</si>
  <si>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</si>
  <si>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</si>
  <si>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</si>
  <si>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</si>
  <si>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</si>
  <si>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</si>
  <si>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</si>
  <si>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</si>
  <si>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</si>
  <si>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</si>
  <si>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</si>
  <si>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</si>
  <si>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</si>
  <si>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</si>
  <si>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</si>
  <si>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</si>
  <si>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</si>
  <si>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</si>
  <si>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</si>
  <si>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</si>
  <si>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</si>
  <si>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</si>
  <si>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</si>
  <si>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</si>
  <si>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</si>
  <si>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</si>
  <si>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</si>
  <si>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</si>
  <si>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</si>
  <si>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</si>
  <si>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</si>
  <si>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</si>
  <si>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</si>
  <si>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</si>
  <si>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</si>
  <si>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</si>
  <si>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</si>
  <si>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</si>
  <si>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</si>
  <si>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</si>
  <si>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</si>
  <si>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</si>
  <si>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</si>
  <si>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</si>
  <si>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</si>
  <si>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</si>
  <si>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</si>
  <si>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</si>
  <si>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</si>
  <si>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</si>
  <si>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</si>
  <si>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</si>
  <si>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</si>
  <si>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</si>
  <si>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</si>
  <si>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</si>
  <si>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</si>
  <si>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</si>
  <si>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</si>
  <si>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</si>
  <si>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</si>
  <si>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</si>
  <si>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</si>
  <si>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</si>
  <si>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</si>
  <si>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</si>
  <si>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</si>
  <si>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</si>
  <si>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</si>
  <si>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</si>
  <si>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</si>
  <si>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</si>
  <si>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</si>
  <si>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</si>
  <si>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</si>
  <si>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</si>
  <si>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</si>
  <si>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</si>
  <si>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</si>
  <si>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</si>
  <si>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</si>
  <si>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</si>
  <si>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</si>
  <si>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</si>
  <si>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</si>
  <si>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</si>
  <si>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</si>
  <si>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</si>
  <si>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</si>
  <si>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</si>
  <si>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</si>
  <si>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</si>
  <si>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</si>
  <si>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</si>
  <si>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</si>
  <si>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</si>
  <si>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</si>
  <si>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</si>
  <si>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</si>
  <si>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</si>
  <si>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</si>
  <si>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</si>
  <si>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</si>
  <si>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</si>
  <si>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</si>
  <si>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</si>
  <si>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</si>
  <si>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</si>
  <si>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</si>
  <si>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</si>
  <si>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</si>
  <si>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</si>
  <si>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</si>
  <si>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</si>
  <si>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</si>
  <si>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</si>
  <si>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</si>
  <si>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</si>
  <si>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</si>
  <si>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</si>
  <si>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</si>
  <si>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</si>
  <si>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</si>
  <si>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</si>
  <si>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</si>
  <si>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</si>
  <si>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</si>
  <si>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</si>
  <si>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</si>
  <si>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</si>
  <si>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</si>
  <si>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</si>
  <si>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</si>
  <si>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</si>
  <si>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</si>
  <si>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</si>
  <si>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</si>
  <si>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</si>
  <si>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</si>
  <si>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</si>
  <si>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</si>
  <si>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</si>
  <si>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</si>
  <si>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</si>
  <si>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</si>
  <si>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</si>
  <si>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</si>
  <si>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</si>
  <si>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</si>
  <si>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</si>
  <si>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</si>
  <si>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</si>
  <si>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</si>
  <si>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</si>
  <si>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</si>
  <si>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</si>
  <si>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</si>
  <si>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</si>
  <si>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</si>
  <si>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</si>
  <si>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</si>
  <si>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</si>
  <si>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</si>
  <si>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</si>
  <si>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</si>
  <si>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</si>
  <si>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</si>
  <si>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</si>
  <si>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</si>
  <si>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</si>
  <si>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</si>
  <si>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</si>
  <si>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</si>
  <si>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</si>
  <si>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</si>
  <si>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</si>
  <si>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</si>
  <si>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</si>
  <si>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</si>
  <si>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</si>
  <si>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</si>
  <si>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</si>
  <si>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</si>
  <si>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</si>
  <si>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</si>
  <si>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</si>
  <si>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</si>
  <si>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</si>
  <si>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</si>
  <si>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</si>
  <si>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</si>
  <si>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</si>
  <si>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</si>
  <si>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</si>
  <si>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</si>
  <si>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</si>
  <si>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</si>
  <si>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</si>
  <si>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</si>
  <si>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</si>
  <si>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</si>
  <si>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</si>
  <si>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</si>
  <si>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</si>
  <si>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</si>
  <si>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</si>
  <si>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</si>
  <si>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</si>
  <si>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</si>
  <si>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</si>
  <si>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</si>
  <si>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</si>
  <si>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</si>
  <si>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</si>
  <si>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</si>
  <si>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</si>
  <si>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</si>
  <si>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</si>
  <si>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</si>
  <si>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</si>
  <si>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</si>
  <si>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</si>
  <si>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</si>
  <si>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</si>
  <si>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</si>
  <si>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</si>
  <si>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</si>
  <si>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</si>
  <si>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</si>
  <si>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</si>
  <si>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</si>
  <si>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</si>
  <si>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</si>
  <si>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</si>
  <si>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</si>
  <si>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</si>
  <si>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</si>
  <si>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</si>
  <si>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</si>
  <si>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</si>
  <si>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</si>
  <si>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</si>
  <si>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</si>
  <si>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</si>
  <si>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</si>
  <si>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</si>
  <si>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</si>
  <si>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</si>
  <si>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</si>
  <si>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</si>
  <si>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</si>
  <si>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</si>
  <si>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</si>
  <si>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</si>
  <si>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</si>
  <si>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</si>
  <si>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</si>
  <si>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</si>
  <si>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</si>
  <si>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</si>
  <si>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</si>
  <si>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</si>
  <si>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</si>
  <si>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</si>
  <si>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</si>
  <si>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</si>
  <si>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</si>
  <si>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</si>
  <si>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</si>
  <si>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</si>
  <si>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</si>
  <si>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</si>
  <si>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</si>
  <si>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</si>
  <si>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</si>
  <si>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</si>
  <si>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</si>
  <si>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</si>
  <si>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</si>
  <si>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</si>
  <si>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</si>
  <si>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</si>
  <si>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</si>
  <si>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</si>
  <si>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</si>
  <si>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</si>
  <si>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</si>
  <si>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</si>
  <si>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</si>
  <si>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</si>
  <si>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</si>
  <si>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</si>
  <si>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</si>
  <si>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</si>
  <si>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</si>
  <si>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</si>
  <si>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</si>
  <si>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</si>
  <si>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</si>
  <si>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</si>
  <si>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</si>
  <si>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</si>
  <si>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</si>
  <si>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</si>
  <si>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</si>
  <si>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</si>
  <si>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</si>
  <si>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</si>
  <si>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</si>
  <si>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</si>
  <si>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</si>
  <si>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</si>
  <si>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</si>
  <si>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</si>
  <si>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</si>
  <si>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</si>
  <si>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</si>
  <si>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</si>
  <si>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</si>
  <si>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</si>
  <si>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</si>
  <si>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</si>
  <si>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</si>
  <si>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</si>
  <si>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</si>
  <si>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</si>
  <si>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</si>
  <si>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</si>
  <si>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</si>
  <si>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</si>
  <si>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</si>
  <si>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</si>
  <si>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</si>
  <si>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</si>
  <si>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</si>
  <si>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</si>
  <si>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</si>
  <si>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</si>
  <si>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</si>
  <si>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</si>
  <si>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</si>
  <si>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</si>
  <si>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</si>
  <si>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</si>
  <si>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</si>
  <si>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</si>
  <si>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</si>
  <si>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</si>
  <si>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</si>
  <si>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</si>
  <si>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</si>
  <si>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</si>
  <si>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</si>
  <si>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</si>
  <si>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</si>
  <si>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</si>
  <si>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</si>
  <si>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</si>
  <si>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</si>
  <si>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</si>
  <si>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</si>
  <si>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</si>
  <si>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</si>
  <si>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</si>
  <si>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</si>
  <si>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</si>
  <si>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</si>
  <si>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</si>
  <si>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</si>
  <si>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</si>
  <si>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</si>
  <si>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</si>
  <si>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</si>
  <si>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</si>
  <si>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</si>
  <si>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</si>
  <si>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</si>
  <si>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</si>
  <si>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</si>
  <si>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</si>
  <si>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</si>
  <si>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</si>
  <si>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</si>
  <si>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</si>
  <si>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</si>
  <si>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</si>
  <si>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</si>
  <si>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</si>
  <si>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</si>
  <si>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</si>
  <si>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</si>
  <si>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</si>
  <si>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</si>
  <si>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</si>
  <si>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</si>
  <si>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</si>
  <si>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</si>
  <si>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</si>
  <si>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</si>
  <si>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</si>
  <si>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</si>
  <si>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</si>
  <si>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</si>
  <si>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</si>
  <si>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</si>
  <si>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</si>
  <si>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</si>
  <si>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</si>
  <si>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</si>
  <si>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</si>
  <si>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</si>
  <si>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</si>
  <si>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</si>
  <si>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</si>
  <si>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</si>
  <si>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</si>
  <si>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</si>
  <si>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</si>
  <si>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</si>
  <si>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</si>
  <si>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</si>
  <si>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</si>
  <si>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</si>
  <si>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</si>
  <si>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</si>
  <si>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</si>
  <si>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</si>
  <si>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</si>
  <si>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</si>
  <si>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</si>
  <si>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</si>
  <si>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</si>
  <si>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</si>
  <si>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</si>
  <si>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</si>
  <si>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</si>
  <si>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</si>
  <si>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</si>
  <si>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</si>
  <si>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</si>
  <si>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</si>
  <si>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</si>
  <si>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</si>
  <si>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</si>
  <si>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</si>
  <si>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</si>
  <si>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</si>
  <si>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</si>
  <si>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</si>
  <si>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</si>
  <si>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</si>
  <si>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</si>
  <si>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</si>
  <si>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</si>
  <si>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</si>
  <si>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</si>
  <si>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</si>
  <si>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</si>
  <si>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</si>
  <si>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</si>
  <si>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</si>
  <si>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</si>
  <si>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</si>
  <si>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</si>
  <si>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</si>
  <si>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</si>
  <si>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</si>
  <si>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</si>
  <si>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</si>
  <si>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</si>
  <si>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</si>
  <si>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</si>
  <si>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</si>
  <si>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</si>
  <si>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</si>
  <si>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</si>
  <si>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</si>
  <si>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</si>
  <si>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</si>
  <si>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</si>
  <si>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</si>
  <si>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</si>
  <si>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</si>
  <si>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</si>
  <si>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</si>
  <si>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</si>
  <si>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</si>
  <si>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</si>
  <si>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</si>
  <si>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</si>
  <si>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</si>
  <si>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</si>
  <si>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</si>
  <si>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</si>
  <si>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</si>
  <si>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</si>
  <si>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</si>
  <si>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</si>
  <si>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</si>
  <si>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</si>
  <si>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</si>
  <si>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</si>
  <si>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</si>
  <si>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</si>
  <si>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</si>
  <si>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</si>
  <si>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</si>
  <si>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</si>
  <si>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</si>
  <si>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</si>
  <si>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</si>
  <si>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</si>
  <si>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</si>
  <si>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</si>
  <si>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</si>
  <si>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</si>
  <si>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</si>
  <si>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</si>
  <si>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</si>
  <si>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</si>
  <si>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</si>
  <si>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</si>
  <si>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</si>
  <si>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</si>
  <si>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</si>
  <si>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</si>
  <si>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</si>
  <si>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</si>
  <si>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</si>
  <si>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</si>
  <si>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</si>
  <si>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</si>
  <si>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</si>
  <si>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</si>
  <si>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</si>
  <si>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</si>
  <si>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</si>
  <si>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</si>
  <si>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</si>
  <si>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</si>
  <si>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</si>
  <si>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</si>
  <si>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</si>
  <si>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</si>
  <si>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</si>
  <si>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</si>
  <si>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</si>
  <si>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</si>
  <si>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</si>
  <si>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</si>
  <si>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</si>
  <si>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</si>
  <si>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</si>
  <si>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</si>
  <si>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</si>
  <si>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</si>
  <si>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</si>
  <si>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</si>
  <si>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</si>
  <si>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</si>
  <si>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</si>
  <si>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</si>
  <si>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</si>
  <si>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</si>
  <si>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</si>
  <si>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</si>
  <si>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</si>
  <si>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</si>
  <si>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</si>
  <si>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</si>
  <si>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</si>
  <si>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</si>
  <si>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</si>
  <si>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</si>
  <si>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</si>
  <si>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</si>
  <si>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</si>
  <si>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</si>
  <si>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</si>
  <si>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</si>
  <si>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</si>
  <si>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</si>
  <si>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</si>
  <si>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</si>
  <si>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</si>
  <si>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</si>
  <si>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</si>
  <si>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</si>
  <si>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</si>
  <si>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</si>
  <si>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</si>
  <si>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</si>
  <si>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</si>
  <si>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</si>
  <si>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</si>
  <si>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</si>
  <si>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</si>
  <si>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</si>
  <si>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</si>
  <si>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</si>
  <si>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</si>
  <si>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</si>
  <si>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</si>
  <si>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</si>
  <si>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</si>
  <si>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</si>
  <si>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</si>
  <si>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</si>
  <si>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</si>
  <si>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</si>
  <si>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</si>
  <si>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</si>
  <si>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</si>
  <si>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</si>
  <si>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</si>
  <si>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</si>
  <si>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</si>
  <si>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</si>
  <si>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</si>
  <si>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</si>
  <si>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</si>
  <si>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</si>
  <si>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</si>
  <si>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</si>
  <si>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</si>
  <si>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</si>
  <si>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</si>
  <si>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</si>
  <si>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</si>
  <si>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</si>
  <si>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</si>
  <si>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</si>
  <si>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</si>
  <si>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</si>
  <si>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</si>
  <si>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</si>
  <si>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</si>
  <si>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</si>
  <si>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</si>
  <si>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</si>
  <si>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</si>
  <si>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</si>
  <si>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</si>
  <si>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</si>
  <si>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</si>
  <si>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</si>
  <si>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</si>
  <si>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</si>
  <si>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</si>
  <si>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</si>
  <si>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</si>
  <si>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</si>
  <si>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</si>
  <si>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</si>
  <si>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</si>
  <si>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</si>
  <si>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</si>
  <si>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</si>
  <si>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</si>
  <si>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</si>
  <si>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</si>
  <si>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</si>
  <si>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</si>
  <si>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</si>
  <si>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</si>
  <si>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</si>
  <si>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</si>
  <si>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</si>
  <si>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</si>
  <si>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</si>
  <si>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</si>
  <si>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</si>
  <si>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</si>
  <si>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</si>
  <si>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</si>
  <si>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</si>
  <si>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</si>
  <si>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</si>
  <si>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</si>
  <si>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</si>
  <si>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</si>
  <si>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</si>
  <si>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</si>
  <si>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</si>
  <si>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</si>
  <si>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</si>
  <si>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</si>
  <si>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</si>
  <si>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</si>
  <si>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</si>
  <si>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</si>
  <si>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</si>
  <si>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</si>
  <si>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</si>
  <si>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</si>
  <si>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</si>
  <si>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</si>
  <si>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</si>
  <si>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</si>
  <si>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</si>
  <si>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</si>
  <si>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</si>
  <si>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</si>
  <si>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</si>
  <si>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</si>
  <si>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</si>
  <si>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</si>
  <si>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</si>
  <si>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</si>
  <si>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</si>
  <si>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</si>
  <si>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</si>
  <si>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</si>
  <si>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</si>
  <si>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</si>
  <si>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</si>
  <si>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</si>
  <si>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</si>
  <si>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</si>
  <si>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</si>
  <si>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</si>
  <si>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</si>
  <si>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</si>
  <si>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</si>
  <si>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</si>
  <si>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</si>
  <si>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</si>
  <si>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</si>
  <si>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</si>
  <si>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</si>
  <si>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</si>
  <si>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</si>
  <si>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</si>
  <si>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</si>
  <si>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</si>
  <si>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</si>
  <si>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</si>
  <si>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</si>
  <si>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</si>
  <si>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</si>
  <si>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</si>
  <si>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</si>
  <si>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</si>
  <si>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</si>
  <si>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</si>
  <si>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</si>
  <si>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</si>
  <si>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</si>
  <si>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</si>
  <si>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</si>
  <si>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</si>
  <si>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</si>
  <si>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</si>
  <si>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</si>
  <si>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</si>
  <si>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</si>
  <si>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</si>
  <si>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</si>
  <si>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</si>
  <si>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</si>
  <si>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</si>
  <si>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</si>
  <si>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</si>
  <si>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</si>
  <si>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</si>
  <si>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</si>
  <si>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</si>
  <si>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</si>
  <si>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</si>
  <si>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</si>
  <si>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</si>
  <si>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</si>
  <si>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</si>
  <si>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</si>
  <si>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</si>
  <si>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</si>
  <si>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</si>
  <si>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</si>
  <si>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</si>
  <si>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</si>
  <si>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</si>
  <si>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</si>
  <si>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</si>
  <si>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</si>
  <si>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</si>
  <si>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</si>
  <si>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</si>
  <si>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</si>
  <si>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</si>
  <si>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</si>
  <si>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</si>
  <si>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</si>
  <si>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</si>
  <si>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</si>
  <si>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</si>
  <si>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</si>
  <si>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</si>
  <si>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</si>
  <si>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</si>
  <si>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</si>
  <si>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</si>
  <si>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</si>
  <si>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</si>
  <si>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</si>
  <si>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</si>
  <si>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</si>
  <si>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</si>
  <si>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</si>
  <si>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</si>
  <si>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</si>
  <si>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</si>
  <si>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</si>
  <si>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</si>
  <si>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</si>
  <si>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</si>
  <si>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</si>
  <si>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</si>
  <si>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</si>
  <si>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</si>
  <si>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</si>
  <si>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</si>
  <si>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</si>
  <si>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</si>
  <si>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</si>
  <si>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</si>
  <si>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</si>
  <si>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</si>
  <si>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</si>
  <si>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</si>
  <si>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</si>
  <si>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</si>
  <si>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</si>
  <si>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</si>
  <si>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</si>
  <si>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</si>
  <si>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</si>
  <si>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</si>
  <si>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</si>
  <si>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</si>
  <si>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</si>
  <si>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</si>
  <si>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</si>
  <si>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</si>
  <si>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</si>
  <si>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</si>
  <si>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</si>
  <si>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</si>
  <si>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</si>
  <si>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</si>
  <si>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</si>
  <si>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</si>
  <si>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</si>
  <si>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</si>
  <si>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</si>
  <si>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</si>
  <si>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</si>
  <si>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</si>
  <si>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</si>
  <si>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</si>
  <si>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</si>
  <si>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</si>
  <si>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</si>
  <si>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</si>
  <si>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</si>
  <si>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</si>
  <si>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</si>
  <si>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</si>
  <si>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</si>
  <si>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</si>
  <si>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</si>
  <si>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</si>
  <si>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</si>
  <si>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</si>
  <si>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</si>
  <si>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</si>
  <si>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</si>
  <si>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</si>
  <si>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</si>
  <si>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</si>
  <si>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</si>
  <si>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</si>
  <si>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</si>
  <si>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</si>
  <si>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</si>
  <si>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</si>
  <si>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</si>
  <si>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</si>
  <si>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</si>
  <si>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</si>
  <si>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</si>
  <si>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</si>
  <si>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</si>
  <si>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</si>
  <si>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</si>
  <si>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</si>
  <si>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</si>
  <si>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</si>
  <si>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</si>
  <si>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</si>
  <si>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</si>
  <si>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</si>
  <si>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</si>
  <si>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</si>
  <si>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</si>
  <si>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</si>
  <si>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</si>
  <si>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</si>
  <si>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</si>
  <si>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</si>
  <si>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</si>
  <si>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</si>
  <si>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</si>
  <si>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</si>
  <si>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</si>
  <si>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</si>
  <si>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</si>
  <si>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</si>
  <si>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</si>
  <si>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</si>
  <si>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</si>
  <si>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</si>
  <si>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</si>
  <si>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</si>
  <si>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</si>
  <si>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</si>
  <si>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</si>
  <si>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</si>
  <si>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</si>
  <si>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</si>
  <si>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</si>
  <si>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</si>
  <si>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</si>
  <si>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</si>
  <si>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</si>
  <si>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</si>
  <si>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</si>
  <si>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</si>
  <si>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</si>
  <si>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</si>
  <si>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</si>
  <si>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</si>
  <si>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</si>
  <si>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</si>
  <si>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</si>
  <si>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</si>
  <si>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</si>
  <si>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</si>
  <si>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</si>
  <si>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</si>
  <si>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</si>
  <si>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</si>
  <si>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</si>
  <si>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</si>
  <si>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</si>
  <si>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</si>
  <si>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</si>
  <si>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</si>
  <si>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</si>
  <si>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</si>
  <si>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</si>
  <si>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</si>
  <si>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</si>
  <si>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</si>
  <si>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</si>
  <si>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</si>
  <si>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</si>
  <si>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</si>
  <si>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</si>
  <si>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</si>
  <si>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</si>
  <si>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</si>
  <si>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</si>
  <si>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</si>
  <si>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</si>
  <si>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</si>
  <si>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</si>
  <si>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</si>
  <si>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</si>
  <si>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</si>
  <si>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</si>
  <si>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</si>
  <si>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</si>
  <si>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</si>
  <si>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</si>
  <si>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</si>
  <si>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</si>
  <si>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</si>
  <si>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</si>
  <si>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</si>
  <si>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</si>
  <si>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</si>
  <si>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</si>
  <si>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</si>
  <si>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</si>
  <si>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</si>
  <si>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</si>
  <si>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</si>
  <si>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</si>
  <si>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</si>
  <si>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</si>
  <si>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</si>
  <si>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</si>
  <si>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</si>
  <si>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</si>
  <si>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</si>
  <si>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</si>
  <si>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</si>
  <si>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</si>
  <si>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</si>
  <si>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</si>
  <si>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</si>
  <si>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</si>
  <si>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</si>
  <si>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</si>
  <si>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</si>
  <si>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</si>
  <si>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</si>
  <si>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</si>
  <si>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</si>
  <si>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</si>
  <si>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</si>
  <si>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</si>
  <si>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</si>
  <si>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</si>
  <si>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</si>
  <si>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</si>
  <si>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</si>
  <si>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</si>
  <si>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</si>
  <si>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</si>
  <si>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</si>
  <si>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</si>
  <si>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</si>
  <si>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</si>
  <si>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</si>
  <si>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</si>
  <si>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</si>
  <si>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</si>
  <si>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</si>
  <si>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</si>
  <si>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</si>
  <si>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</si>
  <si>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</si>
  <si>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</si>
  <si>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</si>
  <si>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</si>
  <si>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</si>
  <si>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</si>
  <si>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</si>
  <si>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</si>
  <si>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</si>
  <si>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</si>
  <si>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</si>
  <si>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</si>
  <si>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</si>
  <si>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</si>
  <si>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</si>
  <si>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</si>
  <si>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</si>
  <si>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</si>
  <si>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</si>
  <si>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</si>
  <si>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</si>
  <si>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</si>
  <si>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</si>
  <si>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</si>
  <si>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</si>
  <si>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</si>
  <si>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</si>
  <si>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</si>
  <si>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</si>
  <si>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</si>
  <si>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</si>
  <si>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</si>
  <si>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</si>
  <si>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</si>
  <si>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</si>
  <si>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</si>
  <si>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</si>
  <si>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</si>
  <si>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</si>
  <si>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</si>
  <si>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</si>
  <si>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</si>
  <si>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</si>
  <si>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</si>
  <si>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</si>
  <si>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</si>
  <si>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</si>
  <si>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</si>
  <si>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</si>
  <si>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</si>
  <si>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</si>
  <si>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</si>
  <si>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</si>
  <si>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</si>
  <si>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</si>
  <si>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</si>
  <si>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</si>
  <si>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</si>
  <si>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</si>
  <si>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</si>
  <si>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</si>
  <si>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</si>
  <si>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</si>
  <si>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</si>
  <si>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</si>
  <si>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</si>
  <si>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</si>
  <si>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</si>
  <si>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</si>
  <si>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</si>
  <si>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</si>
  <si>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</si>
  <si>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</si>
  <si>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</si>
  <si>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</si>
  <si>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</si>
  <si>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</si>
  <si>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</si>
  <si>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</si>
  <si>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</si>
  <si>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</si>
  <si>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</si>
  <si>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</si>
  <si>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</si>
  <si>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</si>
  <si>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</si>
  <si>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</si>
  <si>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</si>
  <si>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</si>
  <si>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</si>
  <si>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</si>
  <si>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</si>
  <si>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</si>
  <si>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</si>
  <si>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</si>
  <si>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</si>
  <si>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</si>
  <si>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</si>
  <si>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</si>
  <si>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</si>
  <si>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</si>
  <si>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</si>
  <si>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</si>
  <si>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</si>
  <si>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</si>
  <si>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</si>
  <si>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</si>
  <si>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</si>
  <si>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</si>
  <si>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</si>
  <si>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</si>
  <si>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</si>
  <si>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</si>
  <si>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</si>
  <si>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</si>
  <si>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</si>
  <si>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</si>
  <si>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</si>
  <si>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</si>
  <si>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</si>
  <si>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</si>
  <si>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</si>
  <si>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</si>
  <si>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</si>
  <si>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</si>
  <si>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</si>
  <si>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</si>
  <si>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</si>
  <si>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</si>
  <si>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</si>
  <si>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</si>
  <si>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</si>
  <si>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</si>
  <si>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</si>
  <si>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</si>
  <si>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</si>
  <si>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</si>
  <si>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</si>
  <si>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</si>
  <si>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</si>
  <si>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</si>
  <si>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</si>
  <si>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</si>
  <si>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</si>
  <si>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</si>
  <si>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</si>
  <si>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</si>
  <si>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</si>
  <si>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</si>
  <si>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</si>
  <si>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</si>
  <si>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</si>
  <si>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</si>
  <si>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</si>
  <si>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</si>
  <si>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</si>
  <si>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</si>
  <si>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</si>
  <si>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</si>
  <si>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</si>
  <si>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</si>
  <si>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</si>
  <si>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</si>
  <si>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</si>
  <si>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</si>
  <si>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</si>
  <si>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</si>
  <si>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</si>
  <si>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</si>
  <si>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</si>
  <si>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</si>
  <si>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</si>
  <si>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</si>
  <si>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</si>
  <si>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</si>
  <si>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</si>
  <si>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</si>
  <si>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</si>
  <si>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</si>
  <si>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</si>
  <si>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</si>
  <si>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</si>
  <si>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</si>
  <si>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</si>
  <si>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</si>
  <si>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</si>
  <si>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</si>
  <si>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</si>
  <si>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</si>
  <si>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</si>
  <si>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</si>
  <si>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</si>
  <si>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</si>
  <si>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</si>
  <si>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</si>
  <si>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</si>
  <si>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</si>
  <si>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</si>
  <si>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</si>
  <si>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</si>
  <si>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</si>
  <si>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</si>
  <si>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</si>
  <si>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</si>
  <si>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</si>
  <si>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</si>
  <si>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</si>
  <si>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</si>
  <si>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</si>
  <si>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</si>
  <si>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</si>
  <si>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</si>
  <si>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</si>
  <si>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</si>
  <si>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</si>
  <si>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</si>
  <si>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</si>
  <si>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</si>
  <si>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</si>
  <si>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</si>
  <si>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</si>
  <si>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</si>
  <si>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</si>
  <si>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</si>
  <si>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</si>
  <si>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</si>
  <si>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</si>
  <si>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</si>
  <si>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</si>
  <si>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</si>
  <si>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</si>
  <si>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</si>
  <si>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</si>
  <si>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</si>
  <si>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</si>
  <si>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</si>
  <si>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</si>
  <si>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</si>
  <si>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</si>
  <si>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</si>
  <si>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</si>
  <si>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</si>
  <si>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</si>
  <si>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</si>
  <si>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</si>
  <si>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</si>
  <si>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</si>
  <si>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</si>
  <si>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</si>
  <si>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</si>
  <si>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</si>
  <si>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</si>
  <si>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</si>
  <si>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</si>
  <si>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</si>
  <si>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</si>
  <si>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</si>
  <si>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</si>
  <si>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</si>
  <si>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</si>
  <si>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</si>
  <si>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</si>
  <si>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</si>
  <si>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</si>
  <si>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</si>
  <si>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</si>
  <si>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</si>
  <si>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</si>
  <si>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</si>
  <si>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</si>
  <si>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</si>
  <si>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</si>
  <si>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</si>
  <si>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</si>
  <si>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</si>
  <si>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</si>
  <si>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</si>
  <si>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</si>
  <si>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</si>
  <si>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</si>
  <si>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</si>
  <si>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</si>
  <si>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</si>
  <si>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</si>
  <si>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</si>
  <si>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</si>
  <si>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</si>
  <si>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</si>
  <si>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</si>
  <si>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</si>
  <si>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</si>
  <si>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</si>
  <si>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</si>
  <si>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</si>
  <si>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</si>
  <si>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</si>
  <si>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</si>
  <si>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</si>
  <si>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</si>
  <si>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</si>
  <si>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</si>
  <si>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</si>
  <si>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</si>
  <si>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</si>
  <si>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</si>
  <si>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</si>
  <si>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</si>
  <si>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</si>
  <si>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</si>
  <si>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</si>
  <si>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</si>
  <si>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</si>
  <si>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</si>
  <si>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</si>
  <si>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</si>
  <si>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</si>
  <si>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</si>
  <si>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</si>
  <si>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</si>
  <si>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</si>
  <si>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</si>
  <si>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</si>
  <si>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</si>
  <si>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</si>
  <si>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</si>
  <si>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</si>
  <si>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</si>
  <si>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</si>
  <si>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</si>
  <si>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</si>
  <si>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</si>
  <si>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</si>
  <si>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</si>
  <si>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</si>
  <si>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</si>
  <si>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</si>
  <si>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</si>
  <si>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</si>
  <si>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</si>
  <si>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</si>
  <si>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</si>
  <si>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</si>
  <si>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</si>
  <si>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</si>
  <si>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</si>
  <si>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</si>
  <si>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</si>
  <si>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</si>
  <si>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</si>
  <si>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</si>
  <si>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</si>
  <si>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</si>
  <si>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</si>
  <si>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</si>
  <si>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</si>
  <si>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</si>
  <si>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</si>
  <si>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</si>
  <si>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</si>
  <si>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</si>
  <si>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</si>
  <si>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</si>
  <si>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</si>
  <si>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</si>
  <si>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</si>
  <si>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</si>
  <si>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</si>
  <si>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</si>
  <si>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</si>
  <si>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</si>
  <si>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</si>
  <si>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</si>
  <si>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</si>
  <si>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</si>
  <si>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</si>
  <si>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</si>
  <si>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</si>
  <si>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</si>
  <si>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</si>
  <si>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</si>
  <si>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</si>
  <si>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</si>
  <si>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</si>
  <si>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</si>
  <si>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</si>
  <si>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</si>
  <si>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</si>
  <si>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</si>
  <si>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</si>
  <si>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</si>
  <si>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</si>
  <si>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</si>
  <si>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</si>
  <si>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</si>
  <si>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</si>
  <si>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</si>
  <si>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</si>
  <si>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</si>
  <si>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</si>
  <si>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</si>
  <si>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</si>
  <si>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</si>
  <si>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</si>
  <si>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</si>
  <si>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</si>
  <si>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</si>
  <si>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</si>
  <si>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</si>
  <si>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</si>
  <si>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</si>
  <si>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</si>
  <si>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</si>
  <si>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</si>
  <si>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</si>
  <si>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</si>
  <si>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</si>
  <si>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</si>
  <si>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</si>
  <si>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</si>
  <si>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</si>
  <si>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</si>
  <si>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</si>
  <si>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</si>
  <si>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</si>
  <si>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</si>
  <si>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</si>
  <si>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</si>
  <si>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</si>
  <si>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</si>
  <si>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</si>
  <si>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</si>
  <si>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</si>
  <si>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</si>
  <si>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</si>
  <si>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</si>
  <si>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</si>
  <si>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</si>
  <si>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</si>
  <si>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</si>
  <si>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</si>
  <si>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</si>
  <si>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</si>
  <si>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</si>
  <si>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</si>
  <si>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</si>
  <si>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</si>
  <si>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</si>
  <si>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</si>
  <si>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</si>
  <si>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</si>
  <si>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</si>
  <si>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</si>
  <si>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</si>
  <si>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</si>
  <si>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</si>
  <si>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</si>
  <si>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</si>
  <si>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</si>
  <si>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</si>
  <si>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</si>
  <si>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</si>
  <si>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</si>
  <si>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</si>
  <si>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</si>
  <si>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</si>
  <si>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</si>
  <si>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</si>
  <si>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</si>
  <si>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</si>
  <si>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</si>
  <si>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</si>
  <si>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</si>
  <si>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</si>
  <si>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</si>
  <si>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</si>
  <si>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</si>
  <si>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</si>
  <si>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</si>
  <si>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</si>
  <si>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</si>
  <si>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</si>
  <si>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</si>
  <si>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</si>
  <si>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</si>
  <si>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</si>
  <si>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</si>
  <si>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</si>
  <si>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</si>
  <si>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</si>
  <si>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</si>
  <si>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</si>
  <si>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</si>
  <si>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</si>
  <si>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</si>
  <si>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</si>
  <si>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</si>
  <si>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</si>
  <si>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</si>
  <si>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</si>
  <si>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</si>
  <si>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</si>
  <si>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</si>
  <si>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</si>
  <si>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</si>
  <si>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</si>
  <si>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</si>
  <si>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</si>
  <si>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</si>
  <si>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</si>
  <si>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</si>
  <si>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</si>
  <si>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</si>
  <si>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</si>
  <si>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</si>
  <si>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</si>
  <si>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</si>
  <si>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</si>
  <si>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</si>
  <si>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</si>
  <si>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</si>
  <si>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</si>
  <si>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</si>
  <si>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</si>
  <si>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</si>
  <si>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</si>
  <si>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</si>
  <si>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</si>
  <si>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</si>
  <si>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</si>
  <si>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</si>
  <si>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</si>
  <si>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</si>
  <si>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</si>
  <si>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</si>
  <si>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</si>
  <si>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</si>
  <si>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</si>
  <si>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</si>
  <si>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</si>
  <si>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</si>
  <si>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</si>
  <si>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</si>
  <si>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</si>
  <si>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</si>
  <si>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</si>
  <si>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</si>
  <si>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</si>
  <si>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</si>
  <si>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</si>
  <si>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</si>
  <si>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</si>
  <si>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</si>
  <si>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</si>
  <si>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</si>
  <si>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</si>
  <si>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</si>
  <si>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</si>
  <si>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</si>
  <si>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</si>
  <si>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</si>
  <si>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</si>
  <si>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</si>
  <si>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</si>
  <si>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</si>
  <si>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</si>
  <si>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</si>
  <si>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</si>
  <si>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</si>
  <si>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</si>
  <si>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</si>
  <si>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</si>
  <si>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</si>
  <si>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</si>
  <si>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</si>
  <si>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</si>
  <si>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</si>
  <si>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</si>
  <si>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</si>
  <si>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</si>
  <si>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</si>
  <si>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</si>
  <si>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</si>
  <si>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</si>
  <si>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</si>
  <si>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</si>
  <si>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</si>
  <si>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</si>
  <si>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</si>
  <si>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</si>
  <si>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</si>
  <si>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</si>
  <si>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</si>
  <si>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</si>
  <si>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</si>
  <si>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</si>
  <si>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</si>
  <si>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</si>
  <si>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</si>
  <si>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</si>
  <si>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</si>
  <si>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</si>
  <si>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</si>
  <si>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</si>
  <si>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</si>
  <si>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</si>
  <si>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</si>
  <si>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</si>
  <si>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</si>
  <si>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</si>
  <si>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</si>
  <si>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</si>
  <si>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</si>
  <si>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</si>
  <si>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</si>
  <si>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</si>
  <si>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</si>
  <si>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</si>
  <si>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</si>
  <si>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</si>
  <si>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</si>
  <si>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</si>
  <si>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</si>
  <si>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</si>
  <si>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</si>
  <si>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</si>
  <si>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</si>
  <si>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</si>
  <si>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</si>
  <si>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</si>
  <si>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</si>
  <si>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</si>
  <si>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</si>
  <si>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</si>
  <si>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</si>
  <si>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</si>
  <si>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</si>
  <si>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</si>
  <si>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</si>
  <si>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</si>
  <si>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</si>
  <si>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</si>
  <si>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</si>
  <si>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</si>
  <si>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</si>
  <si>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</si>
  <si>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</si>
  <si>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</si>
  <si>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</si>
  <si>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</si>
  <si>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</si>
  <si>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</si>
  <si>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</si>
  <si>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</si>
  <si>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</si>
  <si>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</si>
  <si>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</si>
  <si>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</si>
  <si>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</si>
  <si>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</si>
  <si>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</si>
  <si>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</si>
  <si>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</si>
  <si>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</si>
  <si>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</si>
  <si>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</si>
  <si>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</si>
  <si>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</si>
  <si>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</si>
  <si>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</si>
  <si>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</si>
  <si>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</si>
  <si>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</si>
  <si>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</si>
  <si>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</si>
  <si>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</si>
  <si>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</si>
  <si>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</si>
  <si>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</si>
  <si>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</si>
  <si>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</si>
  <si>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</si>
  <si>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</si>
  <si>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</si>
  <si>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</si>
  <si>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</si>
  <si>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</si>
  <si>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</si>
  <si>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</si>
  <si>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</si>
  <si>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</si>
  <si>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</si>
  <si>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</si>
  <si>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</si>
  <si>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</si>
  <si>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</si>
  <si>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</si>
  <si>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</si>
  <si>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</si>
  <si>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</si>
  <si>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</si>
  <si>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</si>
  <si>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</si>
  <si>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</si>
  <si>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</si>
  <si>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</si>
  <si>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</si>
  <si>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</si>
  <si>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</si>
  <si>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</si>
  <si>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</si>
  <si>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</si>
  <si>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</si>
  <si>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</si>
  <si>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</si>
  <si>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</si>
  <si>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</si>
  <si>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</si>
  <si>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</si>
  <si>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</si>
  <si>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</si>
  <si>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</si>
  <si>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</si>
  <si>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</si>
  <si>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</si>
  <si>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</si>
  <si>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</si>
  <si>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</si>
  <si>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</si>
  <si>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</si>
  <si>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</si>
  <si>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</si>
  <si>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</si>
  <si>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</si>
  <si>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</si>
  <si>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</si>
  <si>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</si>
  <si>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</si>
  <si>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</si>
  <si>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</si>
  <si>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</si>
  <si>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</si>
  <si>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</si>
  <si>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</si>
  <si>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</si>
  <si>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</si>
  <si>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</si>
  <si>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</si>
  <si>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</si>
  <si>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</si>
  <si>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</si>
  <si>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</si>
  <si>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</si>
  <si>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</si>
  <si>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</si>
  <si>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</si>
  <si>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</si>
  <si>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</si>
  <si>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</si>
  <si>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</si>
  <si>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</si>
  <si>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</si>
  <si>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</si>
  <si>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</si>
  <si>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</si>
  <si>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</si>
  <si>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</si>
  <si>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</si>
  <si>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</si>
  <si>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</si>
  <si>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</si>
  <si>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</si>
  <si>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</si>
  <si>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</si>
  <si>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</si>
  <si>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</si>
  <si>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</si>
  <si>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</si>
  <si>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</si>
  <si>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</si>
  <si>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</si>
  <si>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</si>
  <si>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</si>
  <si>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</si>
  <si>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</si>
  <si>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</si>
  <si>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</si>
  <si>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</si>
  <si>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</si>
  <si>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</si>
  <si>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</si>
  <si>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</si>
  <si>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</si>
  <si>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</si>
  <si>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</si>
  <si>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</si>
  <si>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</si>
  <si>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</si>
  <si>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</si>
  <si>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</si>
  <si>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</si>
  <si>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</si>
  <si>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</si>
  <si>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</si>
  <si>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</si>
  <si>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</si>
  <si>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</si>
  <si>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</si>
  <si>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</si>
  <si>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</si>
  <si>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</si>
  <si>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</si>
  <si>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</si>
  <si>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</si>
  <si>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</si>
  <si>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</si>
  <si>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</si>
  <si>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</si>
  <si>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</si>
  <si>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</si>
  <si>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</si>
  <si>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</si>
  <si>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</si>
  <si>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</si>
  <si>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</si>
  <si>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</si>
  <si>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</si>
  <si>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</si>
  <si>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</si>
  <si>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</si>
  <si>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</si>
  <si>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</si>
  <si>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</si>
  <si>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</si>
  <si>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</si>
  <si>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</si>
  <si>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</si>
  <si>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</si>
  <si>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</si>
  <si>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</si>
  <si>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</si>
  <si>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</si>
  <si>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</si>
  <si>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</si>
  <si>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</si>
  <si>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</si>
  <si>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</si>
  <si>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</si>
  <si>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</si>
  <si>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</si>
  <si>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</si>
  <si>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</si>
  <si>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</si>
  <si>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</si>
  <si>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</si>
  <si>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</si>
  <si>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</si>
  <si>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</si>
  <si>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</si>
  <si>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</si>
  <si>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</si>
  <si>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</si>
  <si>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</si>
  <si>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</si>
  <si>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</si>
  <si>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</si>
  <si>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</si>
  <si>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</si>
  <si>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</si>
  <si>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</si>
  <si>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</si>
  <si>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</si>
  <si>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</si>
  <si>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</si>
  <si>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</si>
  <si>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</si>
  <si>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</si>
  <si>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</si>
  <si>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</si>
  <si>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</si>
  <si>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</si>
  <si>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</si>
  <si>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</si>
  <si>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</si>
  <si>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</si>
  <si>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</si>
  <si>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</si>
  <si>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</si>
  <si>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</si>
  <si>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</si>
  <si>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</si>
  <si>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</si>
  <si>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</si>
  <si>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</si>
  <si>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</si>
  <si>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</si>
  <si>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</si>
  <si>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</si>
  <si>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</si>
  <si>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</si>
  <si>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</si>
  <si>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</si>
  <si>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</si>
  <si>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</si>
  <si>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</si>
  <si>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</si>
  <si>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</si>
  <si>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</si>
  <si>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</si>
  <si>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</si>
  <si>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</si>
  <si>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</si>
  <si>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</si>
  <si>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</si>
  <si>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</si>
  <si>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</si>
  <si>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</si>
  <si>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</si>
  <si>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</si>
  <si>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</si>
  <si>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</si>
  <si>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</si>
  <si>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</si>
  <si>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</si>
  <si>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</si>
  <si>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</si>
  <si>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</si>
  <si>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</si>
  <si>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</si>
  <si>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</si>
  <si>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</si>
  <si>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</si>
  <si>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</si>
  <si>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</si>
  <si>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</si>
  <si>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</si>
  <si>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</si>
  <si>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</si>
  <si>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</si>
  <si>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</si>
  <si>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</si>
  <si>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</si>
  <si>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</si>
  <si>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</si>
  <si>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</si>
  <si>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</si>
  <si>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</si>
  <si>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</si>
  <si>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</si>
  <si>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</si>
  <si>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</si>
  <si>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</si>
  <si>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</si>
  <si>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</si>
  <si>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</si>
  <si>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</si>
  <si>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</si>
  <si>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</si>
  <si>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</si>
  <si>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</si>
  <si>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</si>
  <si>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</si>
  <si>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</si>
  <si>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</si>
  <si>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</si>
  <si>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</si>
  <si>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</si>
  <si>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</si>
  <si>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</si>
  <si>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</si>
  <si>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</si>
  <si>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</si>
  <si>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</si>
  <si>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</si>
  <si>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</si>
  <si>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</si>
  <si>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</si>
  <si>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</si>
  <si>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</si>
  <si>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</si>
  <si>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</si>
  <si>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</si>
  <si>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</si>
  <si>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</si>
  <si>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</si>
  <si>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</si>
  <si>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</si>
  <si>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</si>
  <si>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</si>
  <si>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</si>
  <si>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</si>
  <si>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</si>
  <si>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</si>
  <si>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</si>
  <si>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</si>
  <si>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</si>
  <si>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</si>
  <si>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</si>
  <si>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</si>
  <si>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</si>
  <si>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</si>
  <si>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</si>
  <si>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</si>
  <si>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</si>
  <si>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</si>
  <si>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</si>
  <si>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</si>
  <si>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</si>
  <si>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</si>
  <si>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</si>
  <si>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</si>
  <si>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</si>
  <si>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</si>
  <si>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</si>
  <si>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</si>
  <si>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</si>
  <si>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</si>
  <si>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</si>
  <si>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</si>
  <si>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</si>
  <si>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</si>
  <si>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</si>
  <si>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</si>
  <si>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</si>
  <si>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</si>
  <si>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</si>
  <si>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</si>
  <si>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</si>
  <si>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</si>
  <si>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</si>
  <si>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</si>
  <si>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</si>
  <si>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</si>
  <si>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</si>
  <si>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</si>
  <si>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</si>
  <si>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</si>
  <si>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</si>
  <si>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</si>
  <si>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</si>
  <si>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</si>
  <si>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</si>
  <si>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</si>
  <si>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</si>
  <si>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</si>
  <si>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</si>
  <si>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</si>
  <si>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</si>
  <si>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</si>
  <si>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</si>
  <si>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</si>
  <si>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</si>
  <si>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</si>
  <si>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</si>
  <si>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</si>
  <si>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</si>
  <si>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</si>
  <si>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</si>
  <si>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</si>
  <si>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</si>
  <si>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</si>
  <si>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</si>
  <si>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</si>
  <si>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</si>
  <si>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</si>
  <si>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</si>
  <si>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</si>
  <si>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</si>
  <si>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</si>
  <si>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</si>
  <si>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</si>
  <si>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</si>
  <si>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</si>
  <si>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</si>
  <si>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</si>
  <si>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</si>
  <si>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</si>
  <si>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</si>
  <si>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</si>
  <si>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</si>
  <si>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</si>
  <si>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</si>
  <si>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</si>
  <si>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</si>
  <si>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</si>
  <si>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</si>
  <si>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</si>
  <si>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</si>
  <si>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</si>
  <si>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</si>
  <si>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</si>
  <si>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</si>
  <si>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</si>
  <si>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</si>
  <si>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</si>
  <si>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</si>
  <si>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</si>
  <si>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</si>
  <si>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</si>
  <si>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</si>
  <si>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</si>
  <si>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</si>
  <si>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</si>
  <si>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</si>
  <si>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</si>
  <si>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</si>
  <si>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</si>
  <si>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</si>
  <si>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</si>
  <si>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</si>
  <si>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</si>
  <si>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</si>
  <si>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</si>
  <si>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</si>
  <si>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</si>
  <si>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</si>
  <si>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</si>
  <si>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</si>
  <si>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</si>
  <si>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</si>
  <si>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</si>
  <si>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</si>
  <si>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</si>
  <si>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</si>
  <si>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</si>
  <si>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</si>
  <si>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</si>
  <si>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</si>
  <si>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</si>
  <si>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</si>
  <si>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</si>
  <si>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</si>
  <si>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</si>
  <si>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</si>
  <si>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</si>
  <si>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</si>
  <si>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</si>
  <si>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</si>
  <si>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</si>
  <si>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</si>
  <si>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</si>
  <si>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</si>
  <si>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</si>
  <si>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</si>
  <si>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</si>
  <si>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</si>
  <si>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</si>
  <si>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</si>
  <si>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</si>
  <si>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</si>
  <si>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</si>
  <si>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</si>
  <si>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</si>
  <si>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</si>
  <si>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</si>
  <si>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</si>
  <si>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</si>
  <si>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</si>
  <si>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</si>
  <si>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</si>
  <si>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</si>
  <si>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</si>
  <si>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</si>
  <si>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</si>
  <si>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</si>
  <si>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</si>
  <si>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</si>
  <si>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</si>
  <si>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</si>
  <si>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</si>
  <si>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</si>
  <si>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</si>
  <si>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</si>
  <si>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</si>
  <si>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</si>
  <si>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</si>
  <si>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</si>
  <si>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</si>
  <si>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</si>
  <si>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</si>
  <si>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</si>
  <si>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</si>
  <si>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</si>
  <si>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</si>
  <si>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</si>
  <si>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</si>
  <si>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</si>
  <si>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</si>
  <si>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</si>
  <si>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</si>
  <si>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</si>
  <si>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</si>
  <si>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</si>
  <si>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</si>
  <si>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</si>
  <si>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</si>
  <si>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</si>
  <si>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</si>
  <si>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</si>
  <si>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</si>
  <si>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</si>
  <si>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</si>
  <si>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</si>
  <si>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</si>
  <si>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</si>
  <si>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</si>
  <si>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</si>
  <si>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</si>
  <si>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</si>
  <si>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</si>
  <si>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</si>
  <si>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</si>
  <si>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</si>
  <si>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</si>
  <si>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</si>
  <si>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</si>
  <si>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</si>
  <si>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</si>
  <si>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</si>
  <si>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</si>
  <si>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</si>
  <si>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</si>
  <si>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</si>
  <si>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</si>
  <si>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</si>
  <si>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</si>
  <si>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</si>
  <si>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</si>
  <si>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</si>
  <si>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</si>
  <si>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</si>
  <si>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</si>
  <si>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</si>
  <si>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</si>
  <si>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</si>
  <si>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</si>
  <si>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</si>
  <si>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</si>
  <si>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</si>
  <si>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</si>
  <si>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</si>
  <si>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</si>
  <si>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</si>
  <si>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</si>
  <si>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</si>
  <si>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</si>
  <si>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</si>
  <si>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</si>
  <si>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</si>
  <si>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</si>
  <si>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</si>
  <si>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</si>
  <si>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</si>
  <si>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</si>
  <si>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</si>
  <si>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</si>
  <si>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</si>
  <si>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</si>
  <si>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</si>
  <si>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</si>
  <si>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</si>
  <si>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</si>
  <si>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</si>
  <si>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</si>
  <si>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</si>
  <si>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</si>
  <si>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</si>
  <si>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</si>
  <si>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</si>
  <si>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</si>
  <si>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</si>
  <si>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</si>
  <si>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</si>
  <si>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</si>
  <si>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</si>
  <si>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</si>
  <si>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</si>
  <si>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</si>
  <si>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</si>
  <si>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</si>
  <si>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</si>
  <si>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</si>
  <si>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</si>
  <si>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</si>
  <si>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</si>
  <si>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</si>
  <si>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</si>
  <si>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</si>
  <si>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</si>
  <si>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</si>
  <si>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</si>
  <si>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</si>
  <si>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</si>
  <si>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</si>
  <si>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</si>
  <si>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</si>
  <si>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</si>
  <si>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</si>
  <si>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</si>
  <si>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</si>
  <si>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</si>
  <si>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</si>
  <si>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</si>
  <si>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</si>
  <si>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</si>
  <si>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</si>
  <si>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</si>
  <si>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</si>
  <si>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</si>
  <si>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</si>
  <si>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</si>
  <si>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</si>
  <si>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</si>
  <si>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</si>
  <si>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</si>
  <si>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</si>
  <si>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</si>
  <si>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</si>
  <si>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</si>
  <si>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</si>
  <si>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</si>
  <si>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</si>
  <si>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</si>
  <si>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</si>
  <si>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</si>
  <si>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</si>
  <si>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</si>
  <si>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</si>
  <si>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</si>
  <si>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</si>
  <si>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</si>
  <si>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</si>
  <si>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</si>
  <si>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</si>
  <si>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</si>
  <si>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</si>
  <si>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</si>
  <si>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</si>
  <si>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</si>
  <si>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</si>
  <si>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</si>
  <si>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</si>
  <si>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</si>
  <si>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</si>
  <si>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</si>
  <si>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</si>
  <si>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</si>
  <si>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</si>
  <si>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</si>
  <si>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</si>
  <si>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</si>
  <si>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</si>
  <si>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</si>
  <si>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</si>
  <si>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</si>
  <si>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</si>
  <si>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</si>
  <si>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</si>
  <si>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</si>
  <si>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</si>
  <si>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</si>
  <si>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</si>
  <si>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</si>
  <si>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</si>
  <si>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</si>
  <si>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</si>
  <si>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</si>
  <si>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</si>
  <si>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</si>
  <si>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</si>
  <si>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</si>
  <si>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</si>
  <si>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</si>
  <si>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</si>
  <si>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</si>
  <si>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</si>
  <si>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</si>
  <si>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</si>
  <si>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</si>
  <si>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</si>
  <si>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</si>
  <si>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</si>
  <si>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</si>
  <si>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</si>
  <si>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</si>
  <si>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</si>
  <si>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</si>
  <si>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</si>
  <si>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</si>
  <si>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</si>
  <si>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</si>
  <si>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</si>
  <si>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</si>
  <si>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</si>
  <si>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</si>
  <si>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</si>
  <si>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</si>
  <si>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</si>
  <si>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</si>
  <si>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</si>
  <si>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</si>
  <si>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</si>
  <si>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</si>
  <si>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</si>
  <si>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</si>
  <si>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</si>
  <si>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</si>
  <si>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</si>
  <si>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</si>
  <si>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</si>
  <si>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</si>
  <si>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</si>
  <si>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</si>
  <si>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</si>
  <si>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</si>
  <si>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</si>
  <si>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</si>
  <si>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</si>
  <si>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</si>
  <si>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</si>
  <si>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</si>
  <si>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</si>
  <si>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</si>
  <si>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</si>
  <si>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</si>
  <si>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</si>
  <si>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</si>
  <si>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</si>
  <si>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</si>
  <si>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</si>
  <si>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</si>
  <si>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</si>
  <si>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</si>
  <si>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</si>
  <si>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</si>
  <si>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</si>
  <si>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</si>
  <si>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</si>
  <si>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</si>
  <si>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</si>
  <si>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</si>
  <si>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</si>
  <si>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</si>
  <si>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</si>
  <si>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</si>
  <si>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</si>
  <si>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</si>
  <si>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</si>
  <si>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</si>
  <si>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</si>
  <si>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</si>
  <si>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</si>
  <si>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</si>
  <si>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</si>
  <si>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</si>
  <si>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</si>
  <si>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</si>
  <si>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</si>
  <si>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</si>
  <si>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</si>
  <si>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</si>
  <si>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</si>
  <si>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</si>
  <si>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</si>
  <si>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</si>
  <si>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</si>
  <si>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</si>
  <si>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</si>
  <si>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</si>
  <si>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</si>
  <si>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</si>
  <si>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</si>
  <si>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</si>
  <si>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</si>
  <si>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</si>
  <si>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</si>
  <si>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</si>
  <si>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</si>
  <si>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</si>
  <si>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</si>
  <si>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</si>
  <si>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</si>
  <si>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</si>
  <si>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</si>
  <si>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</si>
  <si>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</si>
  <si>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</si>
  <si>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</si>
  <si>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</si>
  <si>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</si>
  <si>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</si>
  <si>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</si>
  <si>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</si>
  <si>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</si>
  <si>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</si>
  <si>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</si>
  <si>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</si>
  <si>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</si>
  <si>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</si>
  <si>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</si>
  <si>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</si>
  <si>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</si>
  <si>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</si>
  <si>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</si>
  <si>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</si>
  <si>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</si>
  <si>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</si>
  <si>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</si>
  <si>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</si>
  <si>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</si>
  <si>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</si>
  <si>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</si>
  <si>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</si>
  <si>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</si>
  <si>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</si>
  <si>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</si>
  <si>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</si>
  <si>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</si>
  <si>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</si>
  <si>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</si>
  <si>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</si>
  <si>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</si>
  <si>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</si>
  <si>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</si>
  <si>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</si>
  <si>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</si>
  <si>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</si>
  <si>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</si>
  <si>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</si>
  <si>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</si>
  <si>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</si>
  <si>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</si>
  <si>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</si>
  <si>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</si>
  <si>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</si>
  <si>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</si>
  <si>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</si>
  <si>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</si>
  <si>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</si>
  <si>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</si>
  <si>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</si>
  <si>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</si>
  <si>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</si>
  <si>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</si>
  <si>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</si>
  <si>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</si>
  <si>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</si>
  <si>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</si>
  <si>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</si>
  <si>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</si>
  <si>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</si>
  <si>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</si>
  <si>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</si>
  <si>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</si>
  <si>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</si>
  <si>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</si>
  <si>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</si>
  <si>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</si>
  <si>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</si>
  <si>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</si>
  <si>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</si>
  <si>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</si>
  <si>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</si>
  <si>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</si>
  <si>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</si>
  <si>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</si>
  <si>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</si>
  <si>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</si>
  <si>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</si>
  <si>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</si>
  <si>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</si>
  <si>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</si>
  <si>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</si>
  <si>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</si>
  <si>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</si>
  <si>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</si>
  <si>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</si>
  <si>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</si>
  <si>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</si>
  <si>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</si>
  <si>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</si>
  <si>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</si>
  <si>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</si>
  <si>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</si>
  <si>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</si>
  <si>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</si>
  <si>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</si>
  <si>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</si>
  <si>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</si>
  <si>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</si>
  <si>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</si>
  <si>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</si>
  <si>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</si>
  <si>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</si>
  <si>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</si>
  <si>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</si>
  <si>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</si>
  <si>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</si>
  <si>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</si>
  <si>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</si>
  <si>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</si>
  <si>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</si>
  <si>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</si>
  <si>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</si>
  <si>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</si>
  <si>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</si>
  <si>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</si>
  <si>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</si>
  <si>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</si>
  <si>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</si>
  <si>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</si>
  <si>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</si>
  <si>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</si>
  <si>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</si>
  <si>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</si>
  <si>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</si>
  <si>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</si>
  <si>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</si>
  <si>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</si>
  <si>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</si>
  <si>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</si>
  <si>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</si>
  <si>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</si>
  <si>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</si>
  <si>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</si>
  <si>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</si>
  <si>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</si>
  <si>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</si>
  <si>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</si>
  <si>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</si>
  <si>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</si>
  <si>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</si>
  <si>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</si>
  <si>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</si>
  <si>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</si>
  <si>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</si>
  <si>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</si>
  <si>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</si>
  <si>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</si>
  <si>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</si>
  <si>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</si>
  <si>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</si>
  <si>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</si>
  <si>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</si>
  <si>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</si>
  <si>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</si>
  <si>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</si>
  <si>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</si>
  <si>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</si>
  <si>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</si>
  <si>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</si>
  <si>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</si>
  <si>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</si>
  <si>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</si>
  <si>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</si>
  <si>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</si>
  <si>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</si>
  <si>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</si>
  <si>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</si>
  <si>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</si>
  <si>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</si>
  <si>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</si>
  <si>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</si>
  <si>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</si>
  <si>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</si>
  <si>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</si>
  <si>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</si>
  <si>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</si>
  <si>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</si>
  <si>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</si>
  <si>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</si>
  <si>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</si>
  <si>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</si>
  <si>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</si>
  <si>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</si>
  <si>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</si>
  <si>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</si>
  <si>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</si>
  <si>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</si>
  <si>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</si>
  <si>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</si>
  <si>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</si>
  <si>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</si>
  <si>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</si>
  <si>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</si>
  <si>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</si>
  <si>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</si>
  <si>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</si>
  <si>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</si>
  <si>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</si>
  <si>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</si>
  <si>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</si>
  <si>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</si>
  <si>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</si>
  <si>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</si>
  <si>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</si>
  <si>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</si>
  <si>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</si>
  <si>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</si>
  <si>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</si>
  <si>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</si>
  <si>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</si>
  <si>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</si>
  <si>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</si>
  <si>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</si>
  <si>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</si>
  <si>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</si>
  <si>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</si>
  <si>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</si>
  <si>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</si>
  <si>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</si>
  <si>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</si>
  <si>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</si>
  <si>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</si>
  <si>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</si>
  <si>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</si>
  <si>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</si>
  <si>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</si>
  <si>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</si>
  <si>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</si>
  <si>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</si>
  <si>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</si>
  <si>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</si>
  <si>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</si>
  <si>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</si>
  <si>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</si>
  <si>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</si>
  <si>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</si>
  <si>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</si>
  <si>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</si>
  <si>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</si>
  <si>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</si>
  <si>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</si>
  <si>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</si>
  <si>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</si>
  <si>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</si>
  <si>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</si>
  <si>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</si>
  <si>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</si>
  <si>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</si>
  <si>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</si>
  <si>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</si>
  <si>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</si>
  <si>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</si>
  <si>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</si>
  <si>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</si>
  <si>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</si>
  <si>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</si>
  <si>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</si>
  <si>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</si>
  <si>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</si>
  <si>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</si>
  <si>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</si>
  <si>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</si>
  <si>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</si>
  <si>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</si>
  <si>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</si>
  <si>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</si>
  <si>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</si>
  <si>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</si>
  <si>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</si>
  <si>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</si>
  <si>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</si>
  <si>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</si>
  <si>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</si>
  <si>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</si>
  <si>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</si>
  <si>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</si>
  <si>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</si>
  <si>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</si>
  <si>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</si>
  <si>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</si>
  <si>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</si>
  <si>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</si>
  <si>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</si>
  <si>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</si>
  <si>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</si>
  <si>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</si>
  <si>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</si>
  <si>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</si>
  <si>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</si>
  <si>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</si>
  <si>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</si>
  <si>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</si>
  <si>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</si>
  <si>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</si>
  <si>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</si>
  <si>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</si>
  <si>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</si>
  <si>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</si>
  <si>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</si>
  <si>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</si>
  <si>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</si>
  <si>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</si>
  <si>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</si>
  <si>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</si>
  <si>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</si>
  <si>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</si>
  <si>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</si>
  <si>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</si>
  <si>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</si>
  <si>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</si>
  <si>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</si>
  <si>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</si>
  <si>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</si>
  <si>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</si>
  <si>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</si>
  <si>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</si>
  <si>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</si>
  <si>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</si>
  <si>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</si>
  <si>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</si>
  <si>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</si>
  <si>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</si>
  <si>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</si>
  <si>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</si>
  <si>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</si>
  <si>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</si>
  <si>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</si>
  <si>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</si>
  <si>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</si>
  <si>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</si>
  <si>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</si>
  <si>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</si>
  <si>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</si>
  <si>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</si>
  <si>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</si>
  <si>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</si>
  <si>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</si>
  <si>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</si>
  <si>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</si>
  <si>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</si>
  <si>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</si>
  <si>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</si>
  <si>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</si>
  <si>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</si>
  <si>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</si>
  <si>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</si>
  <si>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</si>
  <si>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</si>
  <si>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</si>
  <si>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</si>
  <si>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</si>
  <si>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</si>
  <si>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</si>
  <si>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</si>
  <si>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</si>
  <si>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</si>
  <si>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</si>
  <si>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</si>
  <si>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</si>
  <si>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</si>
  <si>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</si>
  <si>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</si>
  <si>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</si>
  <si>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</si>
  <si>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</si>
  <si>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</si>
  <si>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</si>
  <si>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</si>
  <si>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</si>
  <si>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</si>
  <si>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</si>
  <si>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</si>
  <si>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</si>
  <si>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</si>
  <si>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</si>
  <si>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</si>
  <si>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</si>
  <si>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</si>
  <si>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</si>
  <si>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</si>
  <si>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</si>
  <si>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</si>
  <si>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</si>
  <si>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</si>
  <si>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</si>
  <si>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</si>
  <si>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</si>
  <si>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</si>
  <si>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</si>
  <si>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</si>
  <si>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</si>
  <si>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</si>
  <si>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</si>
  <si>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</si>
  <si>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</si>
  <si>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</si>
  <si>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</si>
  <si>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</si>
  <si>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</si>
  <si>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</si>
  <si>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</si>
  <si>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</si>
  <si>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</si>
  <si>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</si>
  <si>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</si>
  <si>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</si>
  <si>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</si>
  <si>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</si>
  <si>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</si>
  <si>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</si>
  <si>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</si>
  <si>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</si>
  <si>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</si>
  <si>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</si>
  <si>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</si>
  <si>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</si>
  <si>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</si>
  <si>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</si>
  <si>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</si>
  <si>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</si>
  <si>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</si>
  <si>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</si>
  <si>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</si>
  <si>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</si>
  <si>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</si>
  <si>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</si>
  <si>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</si>
  <si>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</si>
  <si>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</si>
  <si>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</si>
  <si>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</si>
  <si>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</si>
  <si>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</si>
  <si>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</si>
  <si>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</si>
  <si>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</si>
  <si>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</si>
  <si>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</si>
  <si>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</si>
  <si>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</si>
  <si>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</si>
  <si>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</si>
  <si>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</si>
  <si>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</si>
  <si>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</si>
  <si>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</si>
  <si>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</si>
  <si>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</si>
  <si>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</si>
  <si>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</si>
  <si>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</si>
  <si>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</si>
  <si>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</si>
  <si>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</si>
  <si>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</si>
  <si>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</si>
  <si>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</si>
  <si>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</si>
  <si>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</si>
  <si>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</si>
  <si>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</si>
  <si>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</si>
  <si>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</si>
  <si>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</si>
  <si>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</si>
  <si>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</si>
  <si>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</si>
  <si>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</si>
  <si>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</si>
  <si>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</si>
  <si>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</si>
  <si>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</si>
  <si>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</si>
  <si>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</si>
  <si>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</si>
  <si>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</si>
  <si>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</si>
  <si>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</si>
  <si>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</si>
  <si>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</si>
  <si>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</si>
  <si>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</si>
  <si>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</si>
  <si>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</si>
  <si>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</si>
  <si>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</si>
  <si>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</si>
  <si>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</si>
  <si>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</si>
  <si>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</si>
  <si>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</si>
  <si>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</si>
  <si>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</si>
  <si>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</si>
  <si>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</si>
  <si>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</si>
  <si>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</si>
  <si>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</si>
  <si>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</si>
  <si>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</si>
  <si>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</si>
  <si>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</si>
  <si>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</si>
  <si>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</si>
  <si>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</si>
  <si>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</si>
  <si>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</si>
  <si>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</si>
  <si>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</si>
  <si>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</si>
  <si>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</si>
  <si>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</si>
  <si>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</si>
  <si>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</si>
  <si>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</si>
  <si>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</si>
  <si>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</si>
  <si>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</si>
  <si>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</si>
  <si>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</si>
  <si>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</si>
  <si>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</si>
  <si>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</si>
  <si>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</si>
  <si>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</si>
  <si>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</si>
  <si>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</si>
  <si>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</si>
  <si>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</si>
  <si>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</si>
  <si>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</si>
  <si>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</si>
  <si>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</si>
  <si>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</si>
  <si>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</si>
  <si>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</si>
  <si>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</si>
  <si>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</si>
  <si>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</si>
  <si>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</si>
  <si>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</si>
  <si>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</si>
  <si>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</si>
  <si>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</si>
  <si>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</si>
  <si>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</si>
  <si>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</si>
  <si>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</si>
  <si>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</si>
  <si>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</si>
  <si>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</si>
  <si>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</si>
  <si>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</si>
  <si>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</si>
  <si>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</si>
  <si>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</si>
  <si>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</si>
  <si>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</si>
  <si>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</si>
  <si>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</si>
  <si>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</si>
  <si>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</si>
  <si>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</si>
  <si>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</si>
  <si>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</si>
  <si>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</si>
  <si>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</si>
  <si>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</si>
  <si>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</si>
  <si>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</si>
  <si>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</si>
  <si>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</si>
  <si>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</si>
  <si>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</si>
  <si>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</si>
  <si>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</si>
  <si>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</si>
  <si>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</si>
  <si>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</si>
  <si>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</si>
  <si>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</si>
  <si>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</si>
  <si>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</si>
  <si>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</si>
  <si>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</si>
  <si>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</si>
  <si>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</si>
  <si>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</si>
  <si>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</si>
  <si>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</si>
  <si>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</si>
  <si>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</si>
  <si>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</si>
  <si>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</si>
  <si>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</si>
  <si>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</si>
  <si>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</si>
  <si>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</si>
  <si>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</si>
  <si>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</si>
  <si>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</si>
  <si>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</si>
  <si>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</si>
  <si>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</si>
  <si>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</si>
  <si>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</si>
  <si>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</si>
  <si>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</si>
  <si>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</si>
  <si>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</si>
  <si>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</si>
  <si>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</si>
  <si>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</si>
  <si>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</si>
  <si>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</si>
  <si>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</si>
  <si>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</si>
  <si>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</si>
  <si>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</si>
  <si>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</si>
  <si>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</si>
  <si>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</si>
  <si>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</si>
  <si>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</si>
  <si>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</si>
  <si>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</si>
  <si>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</si>
  <si>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</si>
  <si>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</si>
  <si>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</si>
  <si>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</si>
  <si>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</si>
  <si>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</si>
  <si>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</si>
  <si>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</si>
  <si>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</si>
  <si>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</si>
  <si>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</si>
  <si>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</si>
  <si>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</si>
  <si>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</si>
  <si>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</si>
  <si>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</si>
  <si>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</si>
  <si>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</si>
  <si>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</si>
  <si>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</si>
  <si>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</si>
  <si>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</si>
  <si>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</si>
  <si>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</si>
  <si>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</si>
  <si>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</si>
  <si>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</si>
  <si>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</si>
  <si>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</si>
  <si>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</si>
  <si>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</si>
  <si>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</si>
  <si>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</si>
  <si>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</si>
  <si>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</si>
  <si>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</si>
  <si>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</si>
  <si>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</si>
  <si>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</si>
  <si>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</si>
  <si>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</si>
  <si>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</si>
  <si>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</si>
  <si>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</si>
  <si>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</si>
  <si>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</si>
  <si>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</si>
  <si>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</si>
  <si>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</si>
  <si>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</si>
  <si>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</si>
  <si>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</si>
  <si>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</si>
  <si>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</si>
  <si>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</si>
  <si>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</si>
  <si>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</si>
  <si>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</si>
  <si>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</si>
  <si>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</si>
  <si>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</si>
  <si>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</si>
  <si>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</si>
  <si>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</si>
  <si>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</si>
  <si>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</si>
  <si>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</si>
  <si>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</si>
  <si>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</si>
  <si>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</si>
  <si>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</si>
  <si>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</si>
  <si>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</si>
  <si>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</si>
  <si>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</si>
  <si>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</si>
  <si>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</si>
  <si>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</si>
  <si>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</si>
  <si>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</si>
  <si>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</si>
  <si>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</si>
  <si>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</si>
  <si>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</si>
  <si>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</si>
  <si>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</si>
  <si>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</si>
  <si>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</si>
  <si>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</si>
  <si>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</si>
  <si>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</si>
  <si>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</si>
  <si>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</si>
  <si>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</si>
  <si>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</si>
  <si>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</si>
  <si>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</si>
  <si>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</si>
  <si>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</si>
  <si>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</si>
  <si>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</si>
  <si>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</si>
  <si>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</si>
  <si>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</si>
  <si>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</si>
  <si>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</si>
  <si>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</si>
  <si>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</si>
  <si>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</si>
  <si>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</si>
  <si>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</si>
  <si>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</si>
  <si>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</si>
  <si>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</si>
  <si>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</si>
  <si>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</si>
  <si>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</si>
  <si>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</si>
  <si>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</si>
  <si>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</si>
  <si>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</si>
  <si>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</si>
  <si>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</si>
  <si>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</si>
  <si>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</si>
  <si>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</si>
  <si>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</si>
  <si>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</si>
  <si>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</si>
  <si>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</si>
  <si>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</si>
  <si>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</si>
  <si>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</si>
  <si>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</si>
  <si>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</si>
  <si>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</si>
  <si>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</si>
  <si>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</si>
  <si>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</si>
  <si>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</si>
  <si>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</si>
  <si>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</si>
  <si>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</si>
  <si>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</si>
  <si>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</si>
  <si>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</si>
  <si>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</si>
  <si>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</si>
  <si>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</si>
  <si>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</si>
  <si>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</si>
  <si>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</si>
  <si>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</si>
  <si>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</si>
  <si>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</si>
  <si>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</si>
  <si>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</si>
  <si>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</si>
  <si>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</si>
  <si>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</si>
  <si>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</si>
  <si>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</si>
  <si>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</si>
  <si>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</si>
  <si>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</si>
  <si>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</si>
  <si>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</si>
  <si>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</si>
  <si>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</si>
  <si>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</si>
  <si>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</si>
  <si>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</si>
  <si>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</si>
  <si>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</si>
  <si>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</si>
  <si>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</si>
  <si>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</si>
  <si>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</si>
  <si>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</si>
  <si>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</si>
  <si>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</si>
  <si>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</si>
  <si>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</si>
  <si>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</si>
  <si>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</si>
  <si>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</si>
  <si>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</si>
  <si>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</si>
  <si>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</si>
  <si>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</si>
  <si>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</si>
  <si>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</si>
  <si>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</si>
  <si>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</si>
  <si>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</si>
  <si>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</si>
  <si>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</si>
  <si>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</si>
  <si>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</si>
  <si>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</si>
  <si>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</si>
  <si>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</si>
  <si>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</si>
  <si>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</si>
  <si>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</si>
  <si>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</si>
  <si>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</si>
  <si>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</si>
  <si>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</si>
  <si>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</si>
  <si>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</si>
  <si>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</si>
  <si>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</si>
  <si>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</si>
  <si>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</si>
  <si>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</si>
  <si>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</si>
  <si>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</si>
  <si>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</si>
  <si>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</si>
  <si>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</si>
  <si>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</si>
  <si>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</si>
  <si>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</si>
  <si>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</si>
  <si>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</si>
  <si>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</si>
  <si>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</si>
  <si>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</si>
  <si>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</si>
  <si>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</si>
  <si>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</si>
  <si>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</si>
  <si>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</si>
  <si>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</si>
  <si>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</si>
  <si>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</si>
  <si>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</si>
  <si>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</si>
  <si>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</si>
  <si>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</si>
  <si>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</si>
  <si>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</si>
  <si>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</si>
  <si>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</si>
  <si>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</si>
  <si>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</si>
  <si>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</si>
  <si>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</si>
  <si>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</si>
  <si>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</si>
  <si>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</si>
  <si>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</si>
  <si>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</si>
  <si>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</si>
  <si>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</si>
  <si>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</si>
  <si>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</si>
  <si>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</si>
  <si>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</si>
  <si>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</si>
  <si>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</si>
  <si>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</si>
  <si>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</si>
  <si>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</si>
  <si>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</si>
  <si>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</si>
  <si>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</si>
  <si>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</si>
  <si>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</si>
  <si>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</si>
  <si>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</si>
  <si>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</si>
  <si>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</si>
  <si>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</si>
  <si>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</si>
  <si>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</si>
  <si>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</si>
  <si>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</si>
  <si>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</si>
  <si>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</si>
  <si>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</si>
  <si>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</si>
  <si>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</si>
  <si>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</si>
  <si>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</si>
  <si>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</si>
  <si>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</si>
  <si>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</si>
  <si>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</si>
  <si>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</si>
  <si>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</si>
  <si>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</si>
  <si>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</si>
  <si>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</si>
  <si>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</si>
  <si>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</si>
  <si>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</si>
  <si>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</si>
  <si>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</si>
  <si>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</si>
  <si>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</si>
  <si>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</si>
  <si>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</si>
  <si>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</si>
  <si>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</si>
  <si>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</si>
  <si>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</si>
  <si>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</si>
  <si>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</si>
  <si>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</si>
  <si>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</si>
  <si>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</si>
  <si>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</si>
  <si>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</si>
  <si>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</si>
  <si>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</si>
  <si>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</si>
  <si>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</si>
  <si>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</si>
  <si>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</si>
  <si>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</si>
  <si>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</si>
  <si>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</si>
  <si>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</si>
  <si>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</si>
  <si>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</si>
  <si>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</si>
  <si>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</si>
  <si>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</si>
  <si>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</si>
  <si>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</si>
  <si>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</si>
  <si>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</si>
  <si>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</si>
  <si>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</si>
  <si>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</si>
  <si>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</si>
  <si>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</si>
  <si>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</si>
  <si>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</si>
  <si>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</si>
  <si>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</si>
  <si>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</si>
  <si>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</si>
  <si>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</si>
  <si>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</si>
  <si>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</si>
  <si>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</si>
  <si>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</si>
  <si>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</si>
  <si>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</si>
  <si>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</si>
  <si>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</si>
  <si>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</si>
  <si>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</si>
  <si>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</si>
  <si>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</si>
  <si>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</si>
  <si>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</si>
  <si>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</si>
  <si>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</si>
  <si>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</si>
  <si>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</si>
  <si>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</si>
  <si>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</si>
  <si>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</si>
  <si>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</si>
  <si>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</si>
  <si>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</si>
  <si>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</si>
  <si>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</si>
  <si>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</si>
  <si>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</si>
  <si>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</si>
  <si>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</si>
  <si>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</si>
  <si>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</si>
  <si>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</si>
  <si>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</si>
  <si>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</si>
  <si>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</si>
  <si>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</si>
  <si>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</si>
  <si>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</si>
  <si>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</si>
  <si>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</si>
  <si>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</si>
  <si>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</si>
  <si>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</si>
  <si>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</si>
  <si>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</si>
  <si>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</si>
  <si>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</si>
  <si>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</si>
  <si>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</si>
  <si>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</si>
  <si>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</si>
  <si>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</si>
  <si>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</si>
  <si>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</si>
  <si>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</si>
  <si>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</si>
  <si>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</si>
  <si>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</si>
  <si>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</si>
  <si>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</si>
  <si>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</si>
  <si>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</si>
  <si>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</si>
  <si>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</si>
  <si>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</si>
  <si>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</si>
  <si>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</si>
  <si>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</si>
  <si>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</si>
  <si>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</si>
  <si>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</si>
  <si>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</si>
  <si>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</si>
  <si>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</si>
  <si>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</si>
  <si>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</si>
  <si>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</si>
  <si>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</si>
  <si>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</si>
  <si>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</si>
  <si>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</si>
  <si>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</si>
  <si>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</si>
  <si>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</si>
  <si>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</si>
  <si>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</si>
  <si>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</si>
  <si>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</si>
  <si>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</si>
  <si>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</si>
  <si>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</si>
  <si>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</si>
  <si>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</si>
  <si>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</si>
  <si>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</si>
  <si>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</si>
  <si>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</si>
  <si>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</si>
  <si>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</si>
  <si>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</si>
  <si>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</si>
  <si>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</si>
  <si>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</si>
  <si>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</si>
  <si>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</si>
  <si>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</si>
  <si>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</si>
  <si>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</si>
  <si>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</si>
  <si>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</si>
  <si>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</si>
  <si>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</si>
  <si>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</si>
  <si>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</si>
  <si>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</si>
  <si>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</si>
  <si>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</si>
  <si>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</si>
  <si>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</si>
  <si>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</si>
  <si>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</si>
  <si>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</si>
  <si>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</si>
  <si>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</si>
  <si>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</si>
  <si>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</si>
  <si>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</si>
  <si>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</si>
  <si>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</si>
  <si>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</si>
  <si>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</si>
  <si>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</si>
  <si>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</si>
  <si>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</si>
  <si>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</si>
  <si>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</si>
  <si>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</si>
  <si>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</si>
  <si>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</si>
  <si>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</si>
  <si>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</si>
  <si>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</si>
  <si>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</si>
  <si>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</si>
  <si>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</si>
  <si>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</si>
  <si>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</si>
  <si>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</si>
  <si>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</si>
  <si>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</si>
  <si>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</si>
  <si>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</si>
  <si>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</si>
  <si>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</si>
  <si>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</si>
  <si>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</si>
  <si>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</si>
  <si>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</si>
  <si>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</si>
  <si>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</si>
  <si>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</si>
  <si>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</si>
  <si>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</si>
  <si>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</si>
  <si>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</si>
  <si>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</si>
  <si>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</si>
  <si>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</si>
  <si>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</si>
  <si>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</si>
  <si>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</si>
  <si>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</si>
  <si>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</si>
  <si>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</si>
  <si>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</si>
  <si>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</si>
  <si>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</si>
  <si>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</si>
  <si>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</si>
  <si>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</si>
  <si>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</si>
  <si>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</si>
  <si>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</si>
  <si>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</si>
  <si>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</si>
  <si>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</si>
  <si>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</si>
  <si>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</si>
  <si>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</si>
  <si>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</si>
  <si>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</si>
  <si>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</si>
  <si>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</si>
  <si>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</si>
  <si>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</si>
  <si>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</si>
  <si>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</si>
  <si>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</si>
  <si>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</si>
  <si>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</si>
  <si>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</si>
  <si>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</si>
  <si>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</si>
  <si>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</si>
  <si>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</si>
  <si>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</si>
  <si>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</si>
  <si>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</si>
  <si>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</si>
  <si>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</si>
  <si>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</si>
  <si>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</si>
  <si>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</si>
  <si>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</si>
  <si>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</si>
  <si>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</si>
  <si>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</si>
  <si>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</si>
  <si>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</si>
  <si>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</si>
  <si>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</si>
  <si>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</si>
  <si>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</si>
  <si>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</si>
  <si>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</si>
  <si>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</si>
  <si>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</si>
  <si>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</si>
  <si>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</si>
  <si>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</si>
  <si>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</si>
  <si>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</si>
  <si>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</si>
  <si>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</si>
  <si>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</si>
  <si>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</si>
  <si>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</si>
  <si>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</si>
  <si>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</si>
  <si>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</si>
  <si>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</si>
  <si>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</si>
  <si>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</si>
  <si>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</si>
  <si>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</si>
  <si>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</si>
  <si>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</si>
  <si>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</si>
  <si>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</si>
  <si>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</si>
  <si>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</si>
  <si>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</si>
  <si>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</si>
  <si>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</si>
  <si>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</si>
  <si>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</si>
  <si>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</si>
  <si>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</si>
  <si>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</si>
  <si>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</si>
  <si>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</si>
  <si>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</si>
  <si>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</si>
  <si>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</si>
  <si>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</si>
  <si>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</si>
  <si>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</si>
  <si>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</si>
  <si>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</si>
  <si>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</si>
  <si>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</si>
  <si>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</si>
  <si>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</si>
  <si>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</si>
  <si>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</si>
  <si>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</si>
  <si>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</si>
  <si>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</si>
  <si>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</si>
  <si>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</si>
  <si>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</si>
  <si>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</si>
  <si>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</si>
  <si>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</si>
  <si>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</si>
  <si>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</si>
  <si>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</si>
  <si>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</si>
  <si>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</si>
  <si>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</si>
  <si>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</si>
  <si>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</si>
  <si>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</si>
  <si>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</si>
  <si>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</si>
  <si>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</si>
  <si>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</si>
  <si>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</si>
  <si>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</si>
  <si>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</si>
  <si>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</si>
  <si>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</si>
  <si>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</si>
  <si>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</si>
  <si>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</si>
  <si>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</si>
  <si>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</si>
  <si>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</si>
  <si>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</si>
  <si>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</si>
  <si>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</si>
  <si>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</si>
  <si>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</si>
  <si>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</si>
  <si>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</si>
  <si>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</si>
  <si>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</si>
  <si>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</si>
  <si>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</si>
  <si>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</si>
  <si>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</si>
  <si>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</si>
  <si>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</si>
  <si>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</si>
  <si>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</si>
  <si>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</si>
  <si>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</si>
  <si>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</si>
  <si>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</si>
  <si>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</si>
  <si>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</si>
  <si>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</si>
  <si>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</si>
  <si>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</si>
  <si>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</si>
  <si>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</si>
  <si>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</si>
  <si>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</si>
  <si>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</si>
  <si>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</si>
  <si>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</si>
  <si>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</si>
  <si>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</si>
  <si>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</si>
  <si>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</si>
  <si>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</si>
  <si>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</si>
  <si>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</si>
  <si>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</si>
  <si>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</si>
  <si>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</si>
  <si>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</si>
  <si>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</si>
  <si>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</si>
  <si>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</si>
  <si>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</si>
  <si>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</si>
  <si>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</si>
  <si>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</si>
  <si>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</si>
  <si>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</si>
  <si>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</si>
  <si>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</si>
  <si>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</si>
  <si>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</si>
  <si>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</si>
  <si>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</si>
  <si>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</si>
  <si>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</si>
  <si>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</si>
  <si>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</si>
  <si>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</si>
  <si>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</si>
  <si>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</si>
  <si>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</si>
  <si>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</si>
  <si>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</si>
  <si>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</si>
  <si>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</si>
  <si>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</si>
  <si>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</si>
  <si>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</si>
  <si>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</si>
  <si>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</si>
  <si>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</si>
  <si>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</si>
  <si>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</si>
  <si>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</si>
  <si>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</si>
  <si>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</si>
  <si>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</si>
  <si>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</si>
  <si>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</si>
  <si>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</si>
  <si>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</si>
  <si>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</si>
  <si>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</si>
  <si>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</si>
  <si>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</si>
  <si>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</si>
  <si>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</si>
  <si>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</si>
  <si>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</si>
  <si>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</si>
  <si>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</si>
  <si>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</si>
  <si>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</si>
  <si>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</si>
  <si>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</si>
  <si>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</si>
  <si>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</si>
  <si>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</si>
  <si>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</si>
  <si>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</si>
  <si>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</si>
  <si>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</si>
  <si>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</si>
  <si>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</si>
  <si>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</si>
  <si>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</si>
  <si>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</si>
  <si>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</si>
  <si>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</si>
  <si>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</si>
  <si>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</si>
  <si>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</si>
  <si>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</si>
  <si>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</si>
  <si>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</si>
  <si>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</si>
  <si>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</si>
  <si>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</si>
  <si>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</si>
  <si>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</si>
  <si>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</si>
  <si>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</si>
  <si>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</si>
  <si>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</si>
  <si>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</si>
  <si>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</si>
  <si>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</si>
  <si>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</si>
  <si>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</si>
  <si>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</si>
  <si>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</si>
  <si>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</si>
  <si>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</si>
  <si>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</si>
  <si>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</si>
  <si>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</si>
  <si>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</si>
  <si>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</si>
  <si>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</si>
  <si>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</si>
  <si>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</si>
  <si>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</si>
  <si>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</si>
  <si>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</si>
  <si>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</si>
  <si>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</si>
  <si>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</si>
  <si>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</si>
  <si>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</si>
  <si>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</si>
  <si>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</si>
  <si>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</si>
  <si>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</si>
  <si>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</si>
  <si>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</si>
  <si>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</si>
  <si>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</si>
  <si>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</si>
  <si>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</si>
  <si>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</si>
  <si>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</si>
  <si>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</si>
  <si>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</si>
  <si>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</si>
  <si>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</si>
  <si>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</si>
  <si>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</si>
  <si>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</si>
  <si>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</si>
  <si>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</si>
  <si>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</si>
  <si>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</si>
  <si>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</si>
  <si>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</si>
  <si>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</si>
  <si>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</si>
  <si>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</si>
  <si>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</si>
  <si>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</si>
  <si>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</si>
  <si>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</si>
  <si>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</si>
  <si>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</si>
  <si>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</si>
  <si>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</si>
  <si>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</si>
  <si>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</si>
  <si>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</si>
  <si>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</si>
  <si>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</si>
  <si>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</si>
  <si>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</si>
  <si>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</si>
  <si>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</si>
  <si>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</si>
  <si>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</si>
  <si>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</si>
  <si>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</si>
  <si>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</si>
  <si>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</si>
  <si>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</si>
  <si>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</si>
  <si>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</si>
  <si>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</si>
  <si>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</si>
  <si>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</si>
  <si>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</si>
  <si>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</si>
  <si>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</si>
  <si>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</si>
  <si>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</si>
  <si>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</si>
  <si>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</si>
  <si>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</si>
  <si>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</si>
  <si>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</si>
  <si>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</si>
  <si>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</si>
  <si>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</si>
  <si>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</si>
  <si>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</si>
  <si>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</si>
  <si>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</si>
  <si>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</si>
  <si>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</si>
  <si>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</si>
  <si>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</si>
  <si>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</si>
  <si>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</si>
  <si>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</si>
  <si>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</si>
  <si>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</si>
  <si>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</si>
  <si>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</si>
  <si>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</si>
  <si>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</si>
  <si>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</si>
  <si>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</si>
  <si>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</si>
  <si>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</si>
  <si>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</si>
  <si>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</si>
  <si>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</si>
  <si>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</si>
  <si>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</si>
  <si>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</si>
  <si>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</si>
  <si>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</si>
  <si>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</si>
  <si>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</si>
  <si>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</si>
  <si>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</si>
  <si>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</si>
  <si>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</si>
  <si>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</si>
  <si>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</si>
  <si>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</si>
  <si>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</si>
  <si>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</si>
  <si>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</si>
  <si>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</si>
  <si>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</si>
  <si>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</si>
  <si>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</si>
  <si>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</si>
  <si>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</si>
  <si>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</si>
  <si>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</si>
  <si>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</si>
  <si>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</si>
  <si>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</si>
  <si>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</si>
  <si>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</si>
  <si>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</si>
  <si>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</si>
  <si>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</si>
  <si>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</si>
  <si>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</si>
  <si>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</si>
  <si>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</si>
  <si>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</si>
  <si>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</si>
  <si>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</si>
  <si>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</si>
  <si>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</si>
  <si>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</si>
  <si>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</si>
  <si>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</si>
  <si>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</si>
  <si>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</si>
  <si>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</si>
  <si>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</si>
  <si>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</si>
  <si>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</si>
  <si>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</si>
  <si>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</si>
  <si>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</si>
  <si>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</si>
  <si>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</si>
  <si>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</si>
  <si>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</si>
  <si>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</si>
  <si>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</si>
  <si>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</si>
  <si>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</si>
  <si>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</si>
  <si>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</si>
  <si>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</si>
  <si>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</si>
  <si>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</si>
  <si>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</si>
  <si>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</si>
  <si>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</si>
  <si>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</si>
  <si>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</si>
  <si>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</si>
  <si>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</si>
  <si>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</si>
  <si>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</si>
  <si>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</si>
  <si>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</si>
  <si>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</si>
  <si>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</si>
  <si>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</si>
  <si>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</si>
  <si>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</si>
  <si>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</si>
  <si>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</si>
  <si>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</si>
  <si>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</si>
  <si>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</si>
  <si>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</si>
  <si>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</si>
  <si>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</si>
  <si>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</si>
  <si>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</si>
  <si>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</si>
  <si>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</si>
  <si>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</si>
  <si>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</si>
  <si>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</si>
  <si>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</si>
  <si>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</si>
  <si>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</si>
  <si>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</si>
  <si>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</si>
  <si>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</si>
  <si>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</si>
  <si>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</si>
  <si>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</si>
  <si>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</si>
  <si>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</si>
  <si>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</si>
  <si>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</si>
  <si>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</si>
  <si>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</si>
  <si>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</si>
  <si>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</si>
  <si>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</si>
  <si>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</si>
  <si>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</si>
  <si>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</si>
  <si>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</si>
  <si>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</si>
  <si>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</si>
  <si>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</si>
  <si>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</si>
  <si>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</si>
  <si>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</si>
  <si>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</si>
  <si>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</si>
  <si>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</si>
  <si>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</si>
  <si>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</si>
  <si>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</si>
  <si>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</si>
  <si>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</si>
  <si>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</si>
  <si>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</si>
  <si>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</si>
  <si>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</si>
  <si>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</si>
  <si>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</si>
  <si>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</si>
  <si>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</si>
  <si>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</si>
  <si>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</si>
  <si>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</si>
  <si>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</si>
  <si>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</si>
  <si>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</si>
  <si>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</si>
  <si>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</si>
  <si>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</si>
  <si>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</si>
  <si>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</si>
  <si>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</si>
  <si>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</si>
  <si>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</si>
  <si>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</si>
  <si>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</si>
  <si>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</si>
  <si>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</si>
  <si>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</si>
  <si>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</si>
  <si>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</si>
  <si>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</si>
  <si>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</si>
  <si>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</si>
  <si>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</si>
  <si>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</si>
  <si>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</si>
  <si>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</si>
  <si>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</si>
  <si>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</si>
  <si>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</si>
  <si>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</si>
  <si>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</si>
  <si>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</si>
  <si>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</si>
  <si>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</si>
  <si>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</si>
  <si>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</si>
  <si>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</si>
  <si>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</si>
  <si>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</si>
  <si>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</si>
  <si>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</si>
  <si>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</si>
  <si>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</si>
  <si>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</si>
  <si>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</si>
  <si>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</si>
  <si>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</si>
  <si>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</si>
  <si>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</si>
  <si>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</si>
  <si>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</si>
  <si>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</si>
  <si>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</si>
  <si>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</si>
  <si>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</si>
  <si>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</si>
  <si>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</si>
  <si>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</si>
  <si>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</si>
  <si>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</si>
  <si>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</si>
  <si>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</si>
  <si>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</si>
  <si>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</si>
  <si>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</si>
  <si>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</si>
  <si>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</si>
  <si>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</si>
  <si>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</si>
  <si>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</si>
  <si>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</si>
  <si>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</si>
  <si>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</si>
  <si>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</si>
  <si>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</si>
  <si>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</si>
  <si>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</si>
  <si>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</si>
  <si>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</si>
  <si>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</si>
  <si>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</si>
  <si>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</si>
  <si>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</si>
  <si>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</si>
  <si>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</si>
  <si>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</si>
  <si>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</si>
  <si>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</si>
  <si>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</si>
  <si>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</si>
  <si>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</si>
  <si>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</si>
  <si>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</si>
  <si>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</si>
  <si>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</si>
  <si>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</si>
  <si>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</si>
  <si>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</si>
  <si>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</si>
  <si>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</si>
  <si>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</si>
  <si>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</si>
  <si>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</si>
  <si>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</si>
  <si>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</si>
  <si>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</si>
  <si>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</si>
  <si>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</si>
  <si>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</si>
  <si>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</si>
  <si>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</si>
  <si>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</si>
  <si>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</si>
  <si>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</si>
  <si>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</si>
  <si>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</si>
  <si>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</si>
  <si>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</si>
  <si>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</si>
  <si>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</si>
  <si>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</si>
  <si>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</si>
  <si>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</si>
  <si>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</si>
  <si>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</si>
  <si>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</si>
  <si>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</si>
  <si>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</si>
  <si>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</si>
  <si>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</si>
  <si>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</si>
  <si>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</si>
  <si>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</si>
  <si>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</si>
  <si>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</si>
  <si>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</si>
  <si>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</si>
  <si>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</si>
  <si>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</si>
  <si>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</si>
  <si>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</si>
  <si>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</si>
  <si>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</si>
  <si>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</si>
  <si>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</si>
  <si>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</si>
  <si>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</si>
  <si>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</si>
  <si>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</si>
  <si>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</si>
  <si>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</si>
  <si>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</si>
  <si>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</si>
  <si>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</si>
  <si>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</si>
  <si>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</si>
  <si>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</si>
  <si>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</si>
  <si>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</si>
  <si>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</si>
  <si>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</si>
  <si>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</si>
  <si>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</si>
  <si>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</si>
  <si>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</si>
  <si>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</si>
  <si>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</si>
  <si>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</si>
  <si>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</si>
  <si>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</si>
  <si>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</si>
  <si>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</si>
  <si>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</si>
  <si>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</si>
  <si>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</si>
  <si>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</si>
  <si>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</si>
  <si>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</si>
  <si>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</si>
  <si>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</si>
  <si>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</si>
  <si>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</si>
  <si>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</si>
  <si>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</si>
  <si>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</si>
  <si>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</si>
  <si>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</si>
  <si>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</si>
  <si>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</si>
  <si>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</si>
  <si>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</si>
  <si>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</si>
  <si>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</si>
  <si>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</si>
  <si>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</si>
  <si>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</si>
  <si>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</si>
  <si>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</si>
  <si>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</si>
  <si>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</si>
  <si>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</si>
  <si>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</si>
  <si>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</si>
  <si>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</si>
  <si>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</si>
  <si>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</si>
  <si>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</si>
  <si>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</si>
  <si>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</si>
  <si>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</si>
  <si>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</si>
  <si>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</si>
  <si>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</si>
  <si>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</si>
  <si>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</si>
  <si>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</si>
  <si>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</si>
  <si>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</si>
  <si>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</si>
  <si>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</si>
  <si>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</si>
  <si>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</si>
  <si>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</si>
  <si>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</si>
  <si>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</si>
  <si>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</si>
  <si>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</si>
  <si>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</si>
  <si>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</si>
  <si>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</si>
  <si>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</si>
  <si>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</si>
  <si>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</si>
  <si>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</si>
  <si>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</si>
  <si>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</si>
  <si>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</si>
  <si>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</si>
  <si>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</si>
  <si>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</si>
  <si>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</si>
  <si>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</si>
  <si>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</si>
  <si>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</si>
  <si>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</si>
  <si>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</si>
  <si>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</si>
  <si>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</si>
  <si>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</si>
  <si>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</si>
  <si>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</si>
  <si>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</si>
  <si>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</si>
  <si>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</si>
  <si>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</si>
  <si>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</si>
  <si>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</si>
  <si>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</si>
  <si>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</si>
  <si>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</si>
  <si>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</si>
  <si>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</si>
  <si>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</si>
  <si>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</si>
  <si>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</si>
  <si>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</si>
  <si>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</si>
  <si>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</si>
  <si>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</si>
  <si>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</si>
  <si>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</si>
  <si>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</si>
  <si>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</si>
  <si>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</si>
  <si>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</si>
  <si>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</si>
  <si>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</si>
  <si>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</si>
  <si>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</si>
  <si>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</si>
  <si>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</si>
  <si>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</si>
  <si>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</si>
  <si>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</si>
  <si>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</si>
  <si>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</si>
  <si>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</si>
  <si>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</si>
  <si>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</si>
  <si>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</si>
  <si>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</si>
  <si>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</si>
  <si>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</si>
  <si>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</si>
  <si>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</si>
  <si>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</si>
  <si>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</si>
  <si>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</si>
  <si>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</si>
  <si>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</si>
  <si>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</si>
  <si>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</si>
  <si>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</si>
  <si>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</si>
  <si>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</si>
  <si>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</si>
  <si>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</si>
  <si>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</si>
  <si>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</si>
  <si>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</si>
  <si>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</si>
  <si>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</si>
  <si>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</si>
  <si>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</si>
  <si>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</si>
  <si>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</si>
  <si>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</si>
  <si>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</si>
  <si>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</si>
  <si>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</si>
  <si>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</si>
  <si>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</si>
  <si>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</si>
  <si>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</si>
  <si>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</si>
  <si>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</si>
  <si>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</si>
  <si>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</si>
  <si>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</si>
  <si>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</si>
  <si>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</si>
  <si>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</si>
  <si>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</si>
  <si>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</si>
  <si>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</si>
  <si>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</si>
  <si>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</si>
  <si>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</si>
  <si>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</si>
  <si>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</si>
  <si>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</si>
  <si>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</si>
  <si>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</si>
  <si>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</si>
  <si>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</si>
  <si>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</si>
  <si>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</si>
  <si>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</si>
  <si>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</si>
  <si>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</si>
  <si>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</si>
  <si>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</si>
  <si>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</si>
  <si>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</si>
  <si>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</si>
  <si>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</si>
  <si>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</si>
  <si>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</si>
  <si>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</si>
  <si>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</si>
  <si>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</si>
  <si>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</si>
  <si>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</si>
  <si>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</si>
  <si>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</si>
  <si>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</si>
  <si>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</si>
  <si>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</si>
  <si>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</si>
  <si>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</si>
  <si>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</si>
  <si>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</si>
  <si>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</si>
  <si>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</si>
  <si>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</si>
  <si>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</si>
  <si>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</si>
  <si>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</si>
  <si>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</si>
  <si>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</si>
  <si>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</si>
  <si>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</si>
  <si>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</si>
  <si>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</si>
  <si>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</si>
  <si>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</si>
  <si>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</si>
  <si>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</si>
  <si>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</si>
  <si>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</si>
  <si>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</si>
  <si>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</si>
  <si>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</si>
  <si>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</si>
  <si>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</si>
  <si>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</si>
  <si>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</si>
  <si>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</si>
  <si>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</si>
  <si>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</si>
  <si>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</si>
  <si>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</si>
  <si>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</si>
  <si>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</si>
  <si>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</si>
  <si>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</si>
  <si>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</si>
  <si>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</si>
  <si>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</si>
  <si>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</si>
  <si>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</si>
  <si>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</si>
  <si>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</si>
  <si>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</si>
  <si>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</si>
  <si>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</si>
  <si>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</si>
  <si>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</si>
  <si>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</si>
  <si>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</si>
  <si>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</si>
  <si>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</si>
  <si>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</si>
  <si>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</si>
  <si>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</si>
  <si>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</si>
  <si>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</si>
  <si>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</si>
  <si>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</si>
  <si>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</si>
  <si>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</si>
  <si>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</si>
  <si>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</si>
  <si>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</si>
  <si>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</si>
  <si>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</si>
  <si>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</si>
  <si>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</si>
  <si>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</si>
  <si>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</si>
  <si>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</si>
  <si>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</si>
  <si>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</si>
  <si>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</si>
  <si>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</si>
  <si>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</si>
  <si>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</si>
  <si>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</si>
  <si>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</si>
  <si>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</si>
  <si>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</si>
  <si>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</si>
  <si>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</si>
  <si>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</si>
  <si>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</si>
  <si>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</si>
  <si>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</si>
  <si>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</si>
  <si>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</si>
  <si>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</si>
  <si>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</si>
  <si>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</si>
  <si>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</si>
  <si>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</si>
  <si>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</si>
  <si>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</si>
  <si>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</si>
  <si>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</si>
  <si>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</si>
  <si>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</si>
  <si>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</si>
  <si>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</si>
  <si>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</si>
  <si>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</si>
  <si>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</si>
  <si>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</si>
  <si>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</si>
  <si>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</si>
  <si>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</si>
  <si>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</si>
  <si>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</si>
  <si>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</si>
  <si>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</si>
  <si>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</si>
  <si>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</si>
  <si>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</si>
  <si>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</si>
  <si>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</si>
  <si>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</si>
  <si>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</si>
  <si>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</si>
  <si>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</si>
  <si>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</si>
  <si>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</si>
  <si>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</si>
  <si>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</si>
  <si>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</si>
  <si>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</si>
  <si>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</si>
  <si>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</si>
  <si>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</si>
  <si>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</si>
  <si>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</si>
  <si>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</si>
  <si>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</si>
  <si>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</si>
  <si>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</si>
  <si>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</si>
  <si>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</si>
  <si>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</si>
  <si>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</si>
  <si>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</si>
  <si>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</si>
  <si>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</si>
  <si>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</si>
  <si>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</si>
  <si>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</si>
  <si>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</si>
  <si>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</si>
  <si>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</si>
  <si>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</si>
  <si>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</si>
  <si>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</si>
  <si>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</si>
  <si>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</si>
  <si>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</si>
  <si>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</si>
  <si>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</si>
  <si>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</si>
  <si>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</si>
  <si>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</si>
  <si>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</si>
  <si>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</si>
  <si>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</si>
  <si>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</si>
  <si>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</si>
  <si>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</si>
  <si>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</si>
  <si>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</si>
  <si>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</si>
  <si>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</si>
  <si>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</si>
  <si>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</si>
  <si>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</si>
  <si>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</si>
  <si>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</si>
  <si>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</si>
  <si>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</si>
  <si>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</si>
  <si>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</si>
  <si>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</si>
  <si>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</si>
  <si>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</si>
  <si>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</si>
  <si>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</si>
  <si>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</si>
  <si>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</si>
  <si>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</si>
  <si>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</si>
  <si>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</si>
  <si>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</si>
  <si>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</si>
  <si>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</si>
  <si>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</si>
  <si>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</si>
  <si>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</si>
  <si>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</si>
  <si>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</si>
  <si>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</si>
  <si>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</si>
  <si>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</si>
  <si>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</si>
  <si>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</si>
  <si>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</si>
  <si>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</si>
  <si>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</si>
  <si>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</si>
  <si>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</si>
  <si>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</si>
  <si>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</si>
  <si>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</si>
  <si>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</si>
  <si>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</si>
  <si>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</si>
  <si>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</si>
  <si>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</si>
  <si>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</si>
  <si>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</si>
  <si>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</si>
  <si>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</si>
  <si>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</si>
  <si>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</si>
  <si>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</si>
  <si>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</si>
  <si>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</si>
  <si>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</si>
  <si>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</si>
  <si>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</si>
  <si>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</si>
  <si>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</si>
  <si>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</si>
  <si>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</si>
  <si>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</si>
  <si>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</si>
  <si>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</si>
  <si>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</si>
  <si>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</si>
  <si>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</si>
  <si>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</si>
  <si>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</si>
  <si>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</si>
  <si>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</si>
  <si>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</si>
  <si>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</si>
  <si>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</si>
  <si>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</si>
  <si>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</si>
  <si>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</si>
  <si>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</si>
  <si>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</si>
  <si>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</si>
  <si>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</si>
  <si>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</si>
  <si>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</si>
  <si>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</si>
  <si>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</si>
  <si>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</si>
  <si>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</si>
  <si>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</si>
  <si>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</si>
  <si>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</si>
  <si>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</si>
  <si>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</si>
  <si>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</si>
  <si>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</si>
  <si>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</si>
  <si>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</si>
  <si>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</si>
  <si>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</si>
  <si>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</si>
  <si>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</si>
  <si>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</si>
  <si>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</si>
  <si>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</si>
  <si>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</si>
  <si>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</si>
  <si>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</si>
  <si>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</si>
  <si>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</si>
  <si>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</si>
  <si>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</si>
  <si>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</si>
  <si>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</si>
  <si>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</si>
  <si>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</si>
  <si>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</si>
  <si>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</si>
  <si>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</si>
  <si>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</si>
  <si>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</si>
  <si>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</si>
  <si>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</si>
  <si>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</si>
  <si>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</si>
  <si>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</si>
  <si>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</si>
  <si>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</si>
  <si>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</si>
  <si>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</si>
  <si>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</si>
  <si>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</si>
  <si>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</si>
  <si>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</si>
  <si>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</si>
  <si>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</si>
  <si>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</si>
  <si>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</si>
  <si>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</si>
  <si>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</si>
  <si>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</si>
  <si>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</si>
  <si>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</si>
  <si>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</si>
  <si>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</si>
  <si>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</si>
  <si>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</si>
  <si>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</si>
  <si>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</si>
  <si>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</si>
  <si>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</si>
  <si>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</si>
  <si>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</si>
  <si>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</si>
  <si>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</si>
  <si>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</si>
  <si>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</si>
  <si>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</si>
  <si>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</si>
  <si>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</si>
  <si>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</si>
  <si>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</si>
  <si>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</si>
  <si>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</si>
  <si>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</si>
  <si>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</si>
  <si>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</si>
  <si>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</si>
  <si>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</si>
  <si>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</si>
  <si>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</si>
  <si>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</si>
  <si>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</si>
  <si>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</si>
  <si>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</si>
  <si>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</si>
  <si>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</si>
  <si>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</si>
  <si>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</si>
  <si>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</si>
  <si>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</si>
  <si>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</si>
  <si>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</si>
  <si>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</si>
  <si>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</si>
  <si>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</si>
  <si>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</si>
  <si>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</si>
  <si>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</si>
  <si>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</si>
  <si>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</si>
  <si>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</si>
  <si>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</si>
  <si>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</si>
  <si>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</si>
  <si>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</si>
  <si>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</si>
  <si>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</si>
  <si>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</si>
  <si>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</si>
  <si>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</si>
  <si>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</si>
  <si>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</si>
  <si>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</si>
  <si>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</si>
  <si>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</si>
  <si>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</si>
  <si>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</si>
  <si>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</si>
  <si>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</si>
  <si>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</si>
  <si>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</si>
  <si>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</si>
  <si>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</si>
  <si>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</si>
  <si>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</si>
  <si>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</si>
  <si>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</si>
  <si>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</si>
  <si>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</si>
  <si>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</si>
  <si>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</si>
  <si>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</si>
  <si>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</si>
  <si>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</si>
  <si>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</si>
  <si>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</si>
  <si>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</si>
  <si>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</si>
  <si>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</si>
  <si>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</si>
  <si>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</si>
  <si>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</si>
  <si>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</si>
  <si>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</si>
  <si>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</si>
  <si>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</si>
  <si>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</si>
  <si>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</si>
  <si>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</si>
  <si>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</si>
  <si>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</si>
  <si>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</si>
  <si>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</si>
  <si>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</si>
  <si>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</si>
  <si>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</si>
  <si>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</si>
  <si>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</si>
  <si>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</si>
  <si>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</si>
  <si>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</si>
  <si>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</si>
  <si>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</si>
  <si>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</si>
  <si>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</si>
  <si>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</si>
  <si>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</si>
  <si>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</si>
  <si>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</si>
  <si>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</si>
  <si>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</si>
  <si>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</si>
  <si>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</si>
  <si>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</si>
  <si>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</si>
  <si>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</si>
  <si>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</si>
  <si>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</si>
  <si>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</si>
  <si>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</si>
  <si>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</si>
  <si>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</si>
  <si>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</si>
  <si>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</si>
  <si>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</si>
  <si>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</si>
  <si>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</si>
  <si>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</si>
  <si>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</si>
  <si>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</si>
  <si>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</si>
  <si>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</si>
  <si>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</si>
  <si>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</si>
  <si>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</si>
  <si>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</si>
  <si>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</si>
  <si>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</si>
  <si>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</si>
  <si>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</si>
  <si>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</si>
  <si>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</si>
  <si>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</si>
  <si>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</si>
  <si>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</si>
  <si>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</si>
  <si>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</si>
  <si>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</si>
  <si>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</si>
  <si>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</si>
  <si>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</si>
  <si>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</si>
  <si>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</si>
  <si>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</si>
  <si>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</si>
  <si>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</si>
  <si>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</si>
  <si>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</si>
  <si>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</si>
  <si>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</si>
  <si>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</si>
  <si>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</si>
  <si>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</si>
  <si>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</si>
  <si>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</si>
  <si>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</si>
  <si>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</si>
  <si>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</si>
  <si>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</si>
  <si>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</si>
  <si>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</si>
  <si>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</si>
  <si>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</si>
  <si>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</si>
  <si>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</si>
  <si>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</si>
  <si>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</si>
  <si>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</si>
  <si>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</si>
  <si>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</si>
  <si>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</si>
  <si>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</si>
  <si>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</si>
  <si>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</si>
  <si>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</si>
  <si>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</si>
  <si>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</si>
  <si>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</si>
  <si>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</si>
  <si>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</si>
  <si>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</si>
  <si>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</si>
  <si>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</si>
  <si>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</si>
  <si>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</si>
  <si>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</si>
  <si>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</si>
  <si>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</si>
  <si>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</si>
  <si>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</si>
  <si>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</si>
  <si>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</si>
  <si>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</si>
  <si>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</si>
  <si>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</si>
  <si>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</si>
  <si>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</si>
  <si>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</si>
  <si>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</si>
  <si>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</si>
  <si>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</si>
  <si>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</si>
  <si>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</si>
  <si>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</si>
  <si>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</si>
  <si>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</si>
  <si>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</si>
  <si>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</si>
  <si>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</si>
  <si>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</si>
  <si>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</si>
  <si>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</si>
  <si>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</si>
  <si>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</si>
  <si>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</si>
  <si>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</si>
  <si>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</si>
  <si>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</si>
  <si>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</si>
  <si>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</si>
  <si>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</si>
  <si>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</si>
  <si>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</si>
  <si>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</si>
  <si>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</si>
  <si>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</si>
  <si>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</si>
  <si>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</si>
  <si>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</si>
  <si>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</si>
  <si>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</si>
  <si>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</si>
  <si>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</si>
  <si>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</si>
  <si>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</si>
  <si>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</si>
  <si>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</si>
  <si>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</si>
  <si>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</si>
  <si>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</si>
  <si>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</si>
  <si>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</si>
  <si>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</si>
  <si>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</si>
  <si>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</si>
  <si>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</si>
  <si>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</si>
  <si>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</si>
  <si>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</si>
  <si>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</si>
  <si>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</si>
  <si>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</si>
  <si>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</si>
  <si>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</si>
  <si>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</si>
  <si>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</si>
  <si>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</si>
  <si>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</si>
  <si>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</si>
  <si>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</si>
  <si>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</si>
  <si>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</si>
  <si>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</si>
  <si>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</si>
  <si>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</si>
  <si>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</si>
  <si>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</si>
  <si>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</si>
  <si>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</si>
  <si>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</si>
  <si>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</si>
  <si>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</si>
  <si>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</si>
  <si>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</si>
  <si>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</si>
  <si>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</si>
  <si>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</si>
  <si>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</si>
  <si>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</si>
  <si>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</si>
  <si>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</si>
  <si>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</si>
  <si>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</si>
  <si>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</si>
  <si>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</si>
  <si>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</si>
  <si>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</si>
  <si>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</si>
  <si>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</si>
  <si>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</si>
  <si>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</si>
  <si>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</si>
  <si>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</si>
  <si>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</si>
  <si>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</si>
  <si>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</si>
  <si>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</si>
  <si>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</si>
  <si>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</si>
  <si>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</si>
  <si>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</si>
  <si>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</si>
  <si>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</si>
  <si>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</si>
  <si>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</si>
  <si>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</si>
  <si>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</si>
  <si>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</si>
  <si>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</si>
  <si>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</si>
  <si>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</si>
  <si>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</si>
  <si>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</si>
  <si>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</si>
  <si>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</si>
  <si>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</si>
  <si>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</si>
  <si>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</si>
  <si>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</si>
  <si>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</si>
  <si>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</si>
  <si>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</si>
  <si>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</si>
  <si>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</si>
  <si>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</si>
  <si>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</si>
  <si>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</si>
  <si>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</si>
  <si>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</si>
  <si>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</si>
  <si>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</si>
  <si>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</si>
  <si>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</si>
  <si>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</si>
  <si>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</si>
  <si>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</si>
  <si>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</si>
  <si>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</si>
  <si>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</si>
  <si>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</si>
  <si>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</si>
  <si>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</si>
  <si>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</si>
  <si>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</si>
  <si>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</si>
  <si>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</si>
  <si>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</si>
  <si>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</si>
  <si>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</si>
  <si>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</si>
  <si>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</si>
  <si>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</si>
  <si>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</si>
  <si>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</si>
  <si>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</si>
  <si>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</si>
  <si>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</si>
  <si>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</si>
  <si>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</si>
  <si>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</si>
  <si>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</si>
  <si>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</si>
  <si>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</si>
  <si>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</si>
  <si>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</si>
  <si>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</si>
  <si>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</si>
  <si>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</si>
  <si>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</si>
  <si>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</si>
  <si>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</si>
  <si>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</si>
  <si>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</si>
  <si>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</si>
  <si>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</si>
  <si>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</si>
  <si>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</si>
  <si>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</si>
  <si>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</si>
  <si>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</si>
  <si>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</si>
  <si>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</si>
  <si>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</si>
  <si>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</si>
  <si>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</si>
  <si>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</si>
  <si>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</si>
  <si>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</si>
  <si>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</si>
  <si>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</si>
  <si>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</si>
  <si>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</si>
  <si>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</si>
  <si>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</si>
  <si>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</si>
  <si>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</si>
  <si>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</si>
  <si>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</si>
  <si>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</si>
  <si>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</si>
  <si>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</si>
  <si>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</si>
  <si>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</si>
  <si>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</si>
  <si>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</si>
  <si>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</si>
  <si>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</si>
  <si>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</si>
  <si>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</si>
  <si>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</si>
  <si>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</si>
  <si>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</si>
  <si>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</si>
  <si>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</si>
  <si>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</si>
  <si>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</si>
  <si>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</si>
  <si>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</si>
  <si>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</si>
  <si>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</si>
  <si>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</si>
  <si>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</si>
  <si>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</si>
  <si>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</si>
  <si>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</si>
  <si>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</si>
  <si>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</si>
  <si>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</si>
  <si>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</si>
  <si>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</si>
  <si>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</si>
  <si>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</si>
  <si>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</si>
  <si>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</si>
  <si>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</si>
  <si>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</si>
  <si>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</si>
  <si>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</si>
  <si>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</si>
  <si>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</si>
  <si>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</si>
  <si>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</si>
  <si>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</si>
  <si>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</si>
  <si>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</si>
  <si>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</si>
  <si>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</si>
  <si>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</si>
  <si>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</si>
  <si>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</si>
  <si>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</si>
  <si>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</si>
  <si>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</si>
  <si>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</si>
  <si>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</si>
  <si>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</si>
  <si>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</si>
  <si>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</si>
  <si>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</si>
  <si>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</si>
  <si>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</si>
  <si>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</si>
  <si>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</si>
  <si>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</si>
  <si>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</si>
  <si>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</si>
  <si>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</si>
  <si>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</si>
  <si>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</si>
  <si>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</si>
  <si>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</si>
  <si>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</si>
  <si>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</si>
  <si>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</si>
  <si>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</si>
  <si>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</si>
  <si>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</si>
  <si>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</si>
  <si>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</si>
  <si>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</si>
  <si>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</si>
  <si>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</si>
  <si>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</si>
  <si>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</si>
  <si>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</si>
  <si>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</si>
  <si>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</si>
  <si>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</si>
  <si>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</si>
  <si>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</si>
  <si>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</si>
  <si>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</si>
  <si>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</si>
  <si>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</si>
  <si>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</si>
  <si>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</si>
  <si>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</si>
  <si>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</si>
  <si>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</si>
  <si>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</si>
  <si>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</si>
  <si>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</si>
  <si>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</si>
  <si>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</si>
  <si>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</si>
  <si>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</si>
  <si>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</si>
  <si>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</si>
  <si>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</si>
  <si>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</si>
  <si>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</si>
  <si>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</si>
  <si>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</si>
  <si>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</si>
  <si>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</si>
  <si>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</si>
  <si>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</si>
  <si>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</si>
  <si>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</si>
  <si>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</si>
  <si>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</si>
  <si>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</si>
  <si>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</si>
  <si>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</si>
  <si>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</si>
  <si>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</si>
  <si>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</si>
  <si>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</si>
  <si>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</si>
  <si>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</si>
  <si>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</si>
  <si>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</si>
  <si>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</si>
  <si>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</si>
  <si>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</si>
  <si>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</si>
  <si>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</si>
  <si>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</si>
  <si>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</si>
  <si>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</si>
  <si>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</si>
  <si>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</si>
  <si>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</si>
  <si>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</si>
  <si>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</si>
  <si>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</si>
  <si>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</si>
  <si>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</si>
  <si>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</si>
  <si>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</si>
  <si>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</si>
  <si>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</si>
  <si>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</si>
  <si>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</si>
  <si>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</si>
  <si>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</si>
  <si>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</si>
  <si>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</si>
  <si>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</si>
  <si>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</si>
  <si>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</si>
  <si>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</si>
  <si>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</si>
  <si>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</si>
  <si>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</si>
  <si>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</si>
  <si>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</si>
  <si>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</si>
  <si>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</si>
  <si>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</si>
  <si>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</si>
  <si>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</si>
  <si>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</si>
  <si>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</si>
  <si>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</si>
  <si>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</si>
  <si>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</si>
  <si>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</si>
  <si>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</si>
  <si>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</si>
  <si>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</si>
  <si>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</si>
  <si>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</si>
  <si>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</si>
  <si>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</si>
  <si>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</si>
  <si>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</si>
  <si>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</si>
  <si>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</si>
  <si>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</si>
  <si>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</si>
  <si>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</si>
  <si>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</si>
  <si>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</si>
  <si>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</si>
  <si>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</si>
  <si>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</si>
  <si>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</si>
  <si>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</si>
  <si>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</si>
  <si>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</si>
  <si>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</si>
  <si>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</si>
  <si>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</si>
  <si>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</si>
  <si>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</si>
  <si>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</si>
  <si>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</si>
  <si>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</si>
  <si>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</si>
  <si>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</si>
  <si>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</si>
  <si>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</si>
  <si>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</si>
  <si>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</si>
  <si>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</si>
  <si>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</si>
  <si>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</si>
  <si>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</si>
  <si>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</si>
  <si>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</si>
  <si>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</si>
  <si>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</si>
  <si>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</si>
  <si>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</si>
  <si>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</si>
  <si>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</si>
  <si>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</si>
  <si>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</si>
  <si>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</si>
  <si>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</si>
  <si>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</si>
  <si>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</si>
  <si>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</si>
  <si>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</si>
  <si>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</si>
  <si>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</si>
  <si>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</si>
  <si>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</si>
  <si>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</si>
  <si>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</si>
  <si>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</si>
  <si>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</si>
  <si>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</si>
  <si>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</si>
  <si>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</si>
  <si>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</si>
  <si>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</si>
  <si>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</si>
  <si>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</si>
  <si>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</si>
  <si>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</si>
  <si>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</si>
  <si>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</si>
  <si>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</si>
  <si>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</si>
  <si>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</si>
  <si>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</si>
  <si>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</si>
  <si>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</si>
  <si>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</si>
  <si>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</si>
  <si>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</si>
  <si>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</si>
  <si>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</si>
  <si>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</si>
  <si>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</si>
  <si>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</si>
  <si>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</si>
  <si>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</si>
  <si>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</si>
  <si>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</si>
  <si>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</si>
  <si>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</si>
  <si>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</si>
  <si>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</si>
  <si>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</si>
  <si>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</si>
  <si>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</si>
  <si>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</si>
  <si>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</si>
  <si>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</si>
  <si>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</si>
  <si>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</si>
  <si>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</si>
  <si>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</si>
  <si>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</si>
  <si>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</si>
  <si>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</si>
  <si>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</si>
  <si>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</si>
  <si>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</si>
  <si>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</si>
  <si>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</si>
  <si>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</si>
  <si>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</si>
  <si>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</si>
  <si>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</si>
  <si>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</si>
  <si>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</si>
  <si>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</si>
  <si>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</si>
  <si>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</si>
  <si>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</si>
  <si>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</si>
  <si>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</si>
  <si>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</si>
  <si>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</si>
  <si>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</si>
  <si>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</si>
  <si>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</si>
  <si>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</si>
  <si>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</si>
  <si>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</si>
  <si>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</si>
  <si>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</si>
  <si>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</si>
  <si>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</si>
  <si>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</si>
  <si>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</si>
  <si>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</si>
  <si>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</si>
  <si>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</si>
  <si>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</si>
  <si>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</si>
  <si>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</si>
  <si>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</si>
  <si>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</si>
  <si>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</si>
  <si>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</si>
  <si>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</si>
  <si>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</si>
  <si>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</si>
  <si>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</si>
  <si>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</si>
  <si>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</si>
  <si>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</si>
  <si>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</si>
  <si>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</si>
  <si>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</si>
  <si>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</si>
  <si>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</si>
  <si>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</si>
  <si>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</si>
  <si>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</si>
  <si>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</si>
  <si>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</si>
  <si>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</si>
  <si>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</si>
  <si>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</si>
  <si>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</si>
  <si>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</si>
  <si>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</si>
  <si>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</si>
  <si>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</si>
  <si>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</si>
  <si>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</si>
  <si>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</si>
  <si>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</si>
  <si>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</si>
  <si>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</si>
  <si>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</si>
  <si>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</si>
  <si>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</si>
  <si>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</si>
  <si>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</si>
  <si>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</si>
  <si>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</si>
  <si>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</si>
  <si>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</si>
  <si>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</si>
  <si>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</si>
  <si>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</si>
  <si>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</si>
  <si>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</si>
  <si>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</si>
  <si>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</si>
  <si>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</si>
  <si>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</si>
  <si>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</si>
  <si>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</si>
  <si>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</si>
  <si>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</si>
  <si>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</si>
  <si>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</si>
  <si>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</si>
  <si>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</si>
  <si>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</si>
  <si>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</si>
  <si>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</si>
  <si>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</si>
  <si>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</si>
  <si>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</si>
  <si>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</si>
  <si>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</si>
  <si>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</si>
  <si>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</si>
  <si>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</si>
  <si>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</si>
  <si>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</si>
  <si>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</si>
  <si>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</si>
  <si>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</si>
  <si>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</si>
  <si>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</si>
  <si>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</si>
  <si>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</si>
  <si>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</si>
  <si>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</si>
  <si>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</si>
  <si>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</si>
  <si>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</si>
  <si>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</si>
  <si>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</si>
  <si>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</si>
  <si>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</si>
  <si>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</si>
  <si>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</si>
  <si>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</si>
  <si>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</si>
  <si>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</si>
  <si>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</si>
  <si>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</si>
  <si>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</si>
  <si>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</si>
  <si>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</si>
  <si>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</si>
  <si>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</si>
  <si>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</si>
  <si>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</si>
  <si>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</si>
  <si>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</si>
  <si>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</si>
  <si>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</si>
  <si>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</si>
  <si>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</si>
  <si>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</si>
  <si>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</si>
  <si>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</si>
  <si>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</si>
  <si>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</si>
  <si>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</si>
  <si>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</si>
  <si>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</si>
  <si>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</si>
  <si>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</si>
  <si>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</si>
  <si>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</si>
  <si>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</si>
  <si>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</si>
  <si>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</si>
  <si>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</si>
  <si>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</si>
  <si>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</si>
  <si>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</si>
  <si>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</si>
  <si>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</si>
  <si>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</si>
  <si>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</si>
  <si>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</si>
  <si>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</si>
  <si>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</si>
  <si>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</si>
  <si>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</si>
  <si>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</si>
  <si>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</si>
  <si>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</si>
  <si>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</si>
  <si>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</si>
  <si>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</si>
  <si>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</si>
  <si>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</si>
  <si>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</si>
  <si>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</si>
  <si>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</si>
  <si>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</si>
  <si>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</si>
  <si>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</si>
  <si>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</si>
  <si>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</si>
  <si>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</si>
  <si>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</si>
  <si>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</si>
  <si>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</si>
  <si>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</si>
  <si>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</si>
  <si>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</si>
  <si>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</si>
  <si>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</si>
  <si>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</si>
  <si>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</si>
  <si>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</si>
  <si>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</si>
  <si>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</si>
  <si>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</si>
  <si>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</si>
  <si>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</si>
  <si>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</si>
  <si>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</si>
  <si>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</si>
  <si>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</si>
  <si>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</si>
  <si>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</si>
  <si>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</si>
  <si>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</si>
  <si>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</si>
  <si>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</si>
  <si>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</si>
  <si>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</si>
  <si>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</si>
  <si>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</si>
  <si>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</si>
  <si>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</si>
  <si>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</si>
  <si>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</si>
  <si>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</si>
  <si>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</si>
  <si>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</si>
  <si>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</si>
  <si>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</si>
  <si>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</si>
  <si>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</si>
  <si>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</si>
  <si>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</si>
  <si>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</si>
  <si>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</si>
  <si>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</si>
  <si>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</si>
  <si>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</si>
  <si>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</si>
  <si>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</si>
  <si>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</si>
  <si>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</si>
  <si>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</si>
  <si>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</si>
  <si>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</si>
  <si>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</si>
  <si>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</si>
  <si>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</si>
  <si>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</si>
  <si>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</si>
  <si>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</si>
  <si>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</si>
  <si>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</si>
  <si>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</si>
  <si>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</si>
  <si>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</si>
  <si>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</si>
  <si>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</si>
  <si>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</si>
  <si>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</si>
  <si>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</si>
  <si>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</si>
  <si>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</si>
  <si>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</si>
  <si>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</si>
  <si>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</si>
  <si>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</si>
  <si>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</si>
  <si>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</si>
  <si>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</si>
  <si>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</si>
  <si>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</si>
  <si>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</si>
  <si>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</si>
  <si>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</si>
  <si>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</si>
  <si>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</si>
  <si>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</si>
  <si>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</si>
  <si>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</si>
  <si>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</si>
  <si>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</si>
  <si>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</si>
  <si>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</si>
  <si>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</si>
  <si>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</si>
  <si>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</si>
  <si>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</si>
  <si>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</si>
  <si>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</si>
  <si>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</si>
  <si>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</si>
  <si>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</si>
  <si>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</si>
  <si>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</si>
  <si>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</si>
  <si>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</si>
  <si>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</si>
  <si>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</si>
  <si>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</si>
  <si>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</si>
  <si>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</si>
  <si>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</si>
  <si>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</si>
  <si>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</si>
  <si>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</si>
  <si>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</si>
  <si>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</si>
  <si>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</si>
  <si>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</si>
  <si>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</si>
  <si>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</si>
  <si>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</si>
  <si>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</si>
  <si>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</si>
  <si>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</si>
  <si>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</si>
  <si>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</si>
  <si>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</si>
  <si>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</si>
  <si>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</si>
  <si>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</si>
  <si>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</si>
  <si>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</si>
  <si>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</si>
  <si>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</si>
  <si>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</si>
  <si>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</si>
  <si>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</si>
  <si>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</si>
  <si>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</si>
  <si>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</si>
  <si>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</si>
  <si>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</si>
  <si>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</si>
  <si>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</si>
  <si>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</si>
  <si>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</si>
  <si>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</si>
  <si>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</si>
  <si>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</si>
  <si>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</si>
  <si>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</si>
  <si>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</si>
  <si>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</si>
  <si>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</si>
  <si>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</si>
  <si>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</si>
  <si>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</si>
  <si>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</si>
  <si>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</si>
  <si>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</si>
  <si>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</si>
  <si>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</si>
  <si>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</si>
  <si>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</si>
  <si>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</si>
  <si>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</si>
  <si>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</si>
  <si>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</si>
  <si>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</si>
  <si>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</si>
  <si>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</si>
  <si>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</si>
  <si>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</si>
  <si>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</si>
  <si>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</si>
  <si>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</si>
  <si>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</si>
  <si>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</si>
  <si>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</si>
  <si>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</si>
  <si>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</si>
  <si>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</si>
  <si>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</si>
  <si>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</si>
  <si>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</si>
  <si>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</si>
  <si>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</si>
  <si>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</si>
  <si>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</si>
  <si>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</si>
  <si>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</si>
  <si>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</si>
  <si>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</si>
  <si>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</si>
  <si>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</si>
  <si>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</si>
  <si>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</si>
  <si>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</si>
  <si>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</si>
  <si>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</si>
  <si>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</si>
  <si>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</si>
  <si>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</si>
  <si>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</si>
  <si>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</si>
  <si>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</si>
  <si>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</si>
  <si>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</si>
  <si>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</si>
  <si>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</si>
  <si>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</si>
  <si>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</si>
  <si>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</si>
  <si>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</si>
  <si>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</si>
  <si>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</si>
  <si>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</si>
  <si>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</si>
  <si>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</si>
  <si>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</si>
  <si>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</si>
  <si>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</si>
  <si>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</si>
  <si>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</si>
  <si>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</si>
  <si>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</si>
  <si>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</si>
  <si>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</si>
  <si>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</si>
  <si>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</si>
  <si>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</si>
  <si>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</si>
  <si>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</si>
  <si>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</si>
  <si>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</si>
  <si>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</si>
  <si>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</si>
  <si>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</si>
  <si>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</si>
  <si>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</si>
  <si>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</si>
  <si>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</si>
  <si>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</si>
  <si>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</si>
  <si>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</si>
  <si>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</si>
  <si>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</si>
  <si>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</si>
  <si>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</si>
  <si>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</si>
  <si>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</si>
  <si>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</si>
  <si>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</si>
  <si>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</si>
  <si>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</si>
  <si>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</si>
  <si>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</si>
  <si>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</si>
  <si>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</si>
  <si>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</si>
  <si>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</si>
  <si>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</si>
  <si>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</si>
  <si>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</si>
  <si>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</si>
  <si>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</si>
  <si>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</si>
  <si>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</si>
  <si>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</si>
  <si>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</si>
  <si>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</si>
  <si>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</si>
  <si>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</si>
  <si>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</si>
  <si>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</si>
  <si>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</si>
  <si>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</si>
  <si>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</si>
  <si>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</si>
  <si>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</si>
  <si>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</si>
  <si>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</si>
  <si>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</si>
  <si>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</si>
  <si>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</si>
  <si>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</si>
  <si>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</si>
  <si>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</si>
  <si>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</si>
  <si>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</si>
  <si>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</si>
  <si>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</si>
  <si>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</si>
  <si>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</si>
  <si>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</si>
  <si>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</si>
  <si>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</si>
  <si>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</si>
  <si>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</si>
  <si>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</si>
  <si>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</si>
  <si>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</si>
  <si>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</si>
  <si>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</si>
  <si>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</si>
  <si>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</si>
  <si>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</si>
  <si>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</si>
  <si>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</si>
  <si>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</si>
  <si>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</si>
  <si>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</si>
  <si>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</si>
  <si>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</si>
  <si>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</si>
  <si>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</si>
  <si>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</si>
  <si>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</si>
  <si>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</si>
  <si>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</si>
  <si>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</si>
  <si>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</si>
  <si>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</si>
  <si>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</si>
  <si>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</si>
  <si>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</si>
  <si>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</si>
  <si>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</si>
  <si>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</si>
  <si>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</si>
  <si>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</si>
  <si>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</si>
  <si>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</si>
  <si>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</si>
  <si>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</si>
  <si>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</si>
  <si>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</si>
  <si>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</si>
  <si>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</si>
  <si>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</si>
  <si>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</si>
  <si>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</si>
  <si>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</si>
  <si>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</si>
  <si>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</si>
  <si>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</si>
  <si>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</si>
  <si>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</si>
  <si>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</si>
  <si>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</si>
  <si>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</si>
  <si>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</si>
  <si>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</si>
  <si>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</si>
  <si>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</si>
  <si>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</si>
  <si>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</si>
  <si>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</si>
  <si>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</si>
  <si>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</si>
  <si>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</si>
  <si>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</si>
  <si>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</si>
  <si>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</si>
  <si>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</si>
  <si>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</si>
  <si>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</si>
  <si>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</si>
  <si>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</si>
  <si>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</si>
  <si>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</si>
  <si>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</si>
  <si>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</si>
  <si>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</si>
  <si>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</si>
  <si>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</si>
  <si>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</si>
  <si>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</si>
  <si>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</si>
  <si>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</si>
  <si>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</si>
  <si>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</si>
  <si>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</si>
  <si>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</si>
  <si>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</si>
  <si>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</si>
  <si>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</si>
  <si>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</si>
  <si>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</si>
  <si>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</si>
  <si>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</si>
  <si>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</si>
  <si>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</si>
  <si>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</si>
  <si>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</si>
  <si>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</si>
  <si>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</si>
  <si>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</si>
  <si>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</si>
  <si>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</si>
  <si>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</si>
  <si>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</si>
  <si>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</si>
  <si>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</si>
  <si>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</si>
  <si>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</si>
  <si>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</si>
  <si>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</si>
  <si>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</si>
  <si>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</si>
  <si>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</si>
  <si>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</si>
  <si>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</si>
  <si>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</si>
  <si>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</si>
  <si>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</si>
  <si>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</si>
  <si>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</si>
  <si>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</si>
  <si>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</si>
  <si>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</si>
  <si>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</si>
  <si>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</si>
  <si>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</si>
  <si>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</si>
  <si>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</si>
  <si>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</si>
  <si>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</si>
  <si>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</si>
  <si>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</si>
  <si>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</si>
  <si>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</si>
  <si>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</si>
  <si>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</si>
  <si>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</si>
  <si>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</si>
  <si>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</si>
  <si>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</si>
  <si>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</si>
  <si>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</si>
  <si>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</si>
  <si>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</si>
  <si>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</si>
  <si>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</si>
  <si>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</si>
  <si>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</si>
  <si>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</si>
  <si>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</si>
  <si>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</si>
  <si>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</si>
  <si>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</si>
  <si>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</si>
  <si>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</si>
  <si>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</si>
  <si>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</si>
  <si>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</si>
  <si>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</si>
  <si>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</si>
  <si>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</si>
  <si>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</si>
  <si>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</si>
  <si>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</si>
  <si>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</si>
  <si>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</si>
  <si>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</si>
  <si>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</si>
  <si>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</si>
  <si>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</si>
  <si>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</si>
  <si>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</si>
  <si>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</si>
  <si>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</si>
  <si>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</si>
  <si>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</si>
  <si>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</si>
  <si>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</si>
  <si>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</si>
  <si>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</si>
  <si>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</si>
  <si>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</si>
  <si>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</si>
  <si>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</si>
  <si>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</si>
  <si>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</si>
  <si>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</si>
  <si>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</si>
  <si>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</si>
  <si>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</si>
  <si>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</si>
  <si>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</si>
  <si>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</si>
  <si>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</si>
  <si>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</si>
  <si>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</si>
  <si>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</si>
  <si>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</si>
  <si>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</si>
  <si>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</si>
  <si>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</si>
  <si>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</si>
  <si>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</si>
  <si>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</si>
  <si>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</si>
  <si>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</si>
  <si>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</si>
  <si>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</si>
  <si>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</si>
  <si>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</si>
  <si>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</si>
  <si>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</si>
  <si>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</si>
  <si>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</si>
  <si>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</si>
  <si>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</si>
  <si>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</si>
  <si>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</si>
  <si>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</si>
  <si>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</si>
  <si>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</si>
  <si>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</si>
  <si>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</si>
  <si>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</si>
  <si>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</si>
  <si>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</si>
  <si>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</si>
  <si>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</si>
  <si>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</si>
  <si>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</si>
  <si>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</si>
  <si>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</si>
  <si>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</si>
  <si>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</si>
  <si>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</si>
  <si>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</si>
  <si>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</si>
  <si>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</si>
  <si>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</si>
  <si>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</si>
  <si>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</si>
  <si>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</si>
  <si>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</si>
  <si>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</si>
  <si>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</si>
  <si>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</si>
  <si>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</si>
  <si>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</si>
  <si>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</si>
  <si>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</si>
  <si>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</si>
  <si>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</si>
  <si>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</si>
  <si>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</si>
  <si>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</si>
  <si>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</si>
  <si>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</si>
  <si>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</si>
  <si>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</si>
  <si>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</si>
  <si>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</si>
  <si>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</si>
  <si>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</si>
  <si>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</si>
  <si>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</si>
  <si>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</si>
  <si>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</si>
  <si>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</si>
  <si>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</si>
  <si>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</si>
  <si>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</si>
  <si>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</si>
  <si>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</si>
  <si>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</si>
  <si>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</si>
  <si>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</si>
  <si>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</si>
  <si>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</si>
  <si>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</si>
  <si>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</si>
  <si>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</si>
  <si>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</si>
  <si>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</si>
  <si>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</si>
  <si>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</si>
  <si>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</si>
  <si>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</si>
  <si>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</si>
  <si>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</si>
  <si>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</si>
  <si>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</si>
  <si>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</si>
  <si>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</si>
  <si>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</si>
  <si>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</si>
  <si>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</si>
  <si>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</si>
  <si>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</si>
  <si>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</si>
  <si>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</si>
  <si>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</si>
  <si>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</si>
  <si>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</si>
  <si>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</si>
  <si>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</si>
  <si>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</si>
  <si>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</si>
  <si>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</si>
  <si>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</si>
  <si>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</si>
  <si>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</si>
  <si>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</si>
  <si>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</si>
  <si>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</si>
  <si>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</si>
  <si>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</si>
  <si>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</si>
  <si>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</si>
  <si>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</si>
  <si>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</si>
  <si>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</si>
  <si>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</si>
  <si>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</si>
  <si>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</si>
  <si>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</si>
  <si>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</si>
  <si>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</si>
  <si>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</si>
  <si>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</si>
  <si>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</si>
  <si>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</si>
  <si>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</si>
  <si>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</si>
  <si>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</si>
  <si>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</si>
  <si>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</si>
  <si>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</si>
  <si>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</si>
  <si>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</si>
  <si>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</si>
  <si>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</si>
  <si>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</si>
  <si>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</si>
  <si>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</si>
  <si>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</si>
  <si>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</si>
  <si>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</si>
  <si>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</si>
  <si>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</si>
  <si>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</si>
  <si>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</si>
  <si>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</si>
  <si>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</si>
  <si>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</si>
  <si>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</si>
  <si>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</si>
  <si>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</si>
  <si>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</si>
  <si>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</si>
  <si>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</si>
  <si>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</si>
  <si>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</si>
  <si>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</si>
  <si>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</si>
  <si>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</si>
  <si>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</si>
  <si>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</si>
  <si>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</si>
  <si>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</si>
  <si>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</si>
  <si>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</si>
  <si>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</si>
  <si>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</si>
  <si>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</si>
  <si>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</si>
  <si>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</si>
  <si>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</si>
  <si>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</si>
  <si>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</si>
  <si>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</si>
  <si>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</si>
  <si>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</si>
  <si>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</si>
  <si>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</si>
  <si>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</si>
  <si>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</si>
  <si>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</si>
  <si>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</si>
  <si>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</si>
  <si>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</si>
  <si>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</si>
  <si>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</si>
  <si>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</si>
  <si>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</si>
  <si>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</si>
  <si>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</si>
  <si>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</si>
  <si>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</si>
  <si>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</si>
  <si>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</si>
  <si>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</si>
  <si>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</si>
  <si>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</si>
  <si>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</si>
  <si>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</si>
  <si>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</si>
  <si>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</si>
  <si>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</si>
  <si>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</si>
  <si>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</si>
  <si>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</si>
  <si>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</si>
  <si>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</si>
  <si>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</si>
  <si>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</si>
  <si>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</si>
  <si>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</si>
  <si>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</si>
  <si>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</si>
  <si>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</si>
  <si>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</si>
  <si>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</si>
  <si>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</si>
  <si>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</si>
  <si>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</si>
  <si>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</si>
  <si>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</si>
  <si>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</si>
  <si>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</si>
  <si>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</si>
  <si>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</si>
  <si>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</si>
  <si>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</si>
  <si>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</si>
  <si>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</si>
  <si>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</si>
  <si>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</si>
  <si>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</si>
  <si>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</si>
  <si>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</si>
  <si>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</si>
  <si>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</si>
  <si>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</si>
  <si>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</si>
  <si>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</si>
  <si>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</si>
  <si>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</si>
  <si>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</si>
  <si>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</si>
  <si>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</si>
  <si>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</si>
  <si>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</si>
  <si>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</si>
  <si>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</si>
  <si>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</si>
  <si>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</si>
  <si>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</si>
  <si>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</si>
  <si>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</si>
  <si>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</si>
  <si>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</si>
  <si>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</si>
  <si>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</si>
  <si>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</si>
  <si>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</si>
  <si>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</si>
  <si>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</si>
  <si>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</si>
  <si>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</si>
  <si>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</si>
  <si>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</si>
  <si>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</si>
  <si>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</si>
  <si>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</si>
  <si>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</si>
  <si>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</si>
  <si>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</si>
  <si>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</si>
  <si>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</si>
  <si>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</si>
  <si>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</si>
  <si>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</si>
  <si>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</si>
  <si>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</si>
  <si>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</si>
  <si>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</si>
  <si>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</si>
  <si>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</si>
  <si>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</si>
  <si>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</si>
  <si>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</si>
  <si>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</si>
  <si>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</si>
  <si>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</si>
  <si>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</si>
  <si>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</si>
  <si>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</si>
  <si>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</si>
  <si>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</si>
  <si>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</si>
  <si>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</si>
  <si>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</si>
  <si>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</si>
  <si>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</si>
  <si>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</si>
  <si>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</si>
  <si>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</si>
  <si>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</si>
  <si>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</si>
  <si>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</si>
  <si>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</si>
  <si>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</si>
  <si>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</si>
  <si>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</si>
  <si>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</si>
  <si>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</si>
  <si>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</si>
  <si>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</si>
  <si>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</si>
  <si>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</si>
  <si>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</si>
  <si>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</si>
  <si>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</si>
  <si>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</si>
  <si>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</si>
  <si>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</si>
  <si>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</si>
  <si>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</si>
  <si>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</si>
  <si>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</si>
  <si>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</si>
  <si>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</si>
  <si>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</si>
  <si>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</si>
  <si>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</si>
  <si>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</si>
  <si>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</si>
  <si>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</si>
  <si>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</si>
  <si>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</si>
  <si>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</si>
  <si>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</si>
  <si>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</si>
  <si>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</si>
  <si>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</si>
  <si>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</si>
  <si>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</si>
  <si>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</si>
  <si>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</si>
  <si>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</si>
  <si>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</si>
  <si>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</si>
  <si>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</si>
  <si>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</si>
  <si>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</si>
  <si>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</si>
  <si>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</si>
  <si>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</si>
  <si>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</si>
  <si>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</si>
  <si>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</si>
  <si>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</si>
  <si>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</si>
  <si>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</si>
  <si>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</si>
  <si>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</si>
  <si>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</si>
  <si>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</si>
  <si>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</si>
  <si>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</si>
  <si>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</si>
  <si>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</si>
  <si>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</si>
  <si>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</si>
  <si>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</si>
  <si>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</si>
  <si>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</si>
  <si>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</si>
  <si>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</si>
  <si>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</si>
  <si>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</si>
  <si>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</si>
  <si>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</si>
  <si>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</si>
  <si>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</si>
  <si>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</si>
  <si>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</si>
  <si>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</si>
  <si>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</si>
  <si>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</si>
  <si>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</si>
  <si>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</si>
  <si>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</si>
  <si>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</si>
  <si>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</si>
  <si>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</si>
  <si>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</si>
  <si>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</si>
  <si>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</si>
  <si>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</si>
  <si>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</si>
  <si>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</si>
  <si>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</si>
  <si>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</si>
  <si>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</si>
  <si>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</si>
  <si>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</si>
  <si>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</si>
  <si>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</si>
  <si>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</si>
  <si>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</si>
  <si>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</si>
  <si>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</si>
  <si>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</si>
  <si>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</si>
  <si>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</si>
  <si>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</si>
  <si>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</si>
  <si>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</si>
  <si>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</si>
  <si>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</si>
  <si>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</si>
  <si>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</si>
  <si>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</si>
  <si>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</si>
  <si>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</si>
  <si>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</si>
  <si>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</si>
  <si>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</si>
  <si>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</si>
  <si>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</si>
  <si>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</si>
  <si>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</si>
  <si>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</si>
  <si>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</si>
  <si>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</si>
  <si>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</si>
  <si>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</si>
  <si>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</si>
  <si>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</si>
  <si>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</si>
  <si>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</si>
  <si>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</si>
  <si>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</si>
  <si>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</si>
  <si>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</si>
  <si>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</si>
  <si>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</si>
  <si>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</si>
  <si>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</si>
  <si>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</si>
  <si>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</si>
  <si>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</si>
  <si>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</si>
  <si>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</si>
  <si>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</si>
  <si>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</si>
  <si>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</si>
  <si>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</si>
  <si>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</si>
  <si>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</si>
  <si>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</si>
  <si>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</si>
  <si>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</si>
  <si>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</si>
  <si>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</si>
  <si>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</si>
  <si>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</si>
  <si>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</si>
  <si>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</si>
  <si>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</si>
  <si>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</si>
  <si>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</si>
  <si>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</si>
  <si>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</si>
  <si>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</si>
  <si>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</si>
  <si>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</si>
  <si>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</si>
  <si>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</si>
  <si>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</si>
  <si>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</si>
  <si>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</si>
  <si>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</si>
  <si>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</si>
  <si>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</si>
  <si>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</si>
  <si>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</si>
  <si>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</si>
  <si>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</si>
  <si>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</si>
  <si>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</si>
  <si>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</si>
  <si>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</si>
  <si>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</si>
  <si>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</si>
  <si>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</si>
  <si>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</si>
  <si>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</si>
  <si>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</si>
  <si>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</si>
  <si>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</si>
  <si>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</si>
  <si>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</si>
  <si>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</si>
  <si>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</si>
  <si>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</si>
  <si>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</si>
  <si>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</si>
  <si>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</si>
  <si>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</si>
  <si>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</si>
  <si>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</si>
  <si>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</si>
  <si>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</si>
  <si>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</si>
  <si>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</si>
  <si>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</si>
  <si>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</si>
  <si>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</si>
  <si>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</si>
  <si>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</si>
  <si>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</si>
  <si>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</si>
  <si>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</si>
  <si>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</si>
  <si>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</si>
  <si>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</si>
  <si>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</si>
  <si>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</si>
  <si>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</si>
  <si>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</si>
  <si>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</si>
  <si>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</si>
  <si>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</si>
  <si>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</si>
  <si>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</si>
  <si>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</si>
  <si>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</si>
  <si>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</si>
  <si>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</si>
  <si>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</si>
  <si>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</si>
  <si>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</si>
  <si>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</si>
  <si>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</si>
  <si>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</si>
  <si>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</si>
  <si>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</si>
  <si>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</si>
  <si>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</si>
  <si>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</si>
  <si>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</si>
  <si>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</si>
  <si>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</si>
  <si>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</si>
  <si>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</si>
  <si>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</si>
  <si>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</si>
  <si>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</si>
  <si>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</si>
  <si>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</si>
  <si>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</si>
  <si>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</si>
  <si>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</si>
  <si>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</si>
  <si>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</si>
  <si>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</si>
  <si>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</si>
  <si>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</si>
  <si>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</si>
  <si>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</si>
  <si>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</si>
  <si>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</si>
  <si>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</si>
  <si>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</si>
  <si>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</si>
  <si>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</si>
  <si>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</si>
  <si>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</si>
  <si>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</si>
  <si>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</si>
  <si>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</si>
  <si>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</si>
  <si>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</si>
  <si>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</si>
  <si>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</si>
  <si>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</si>
  <si>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</si>
  <si>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</si>
  <si>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</si>
  <si>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</si>
  <si>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</si>
  <si>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</si>
  <si>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</si>
  <si>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</si>
  <si>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</si>
  <si>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</si>
  <si>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</si>
  <si>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</si>
  <si>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</si>
  <si>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</si>
  <si>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</si>
  <si>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</si>
  <si>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</si>
  <si>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</si>
  <si>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</si>
  <si>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</si>
  <si>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</si>
  <si>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</si>
  <si>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</si>
  <si>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</si>
  <si>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</si>
  <si>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</si>
  <si>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</si>
  <si>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</si>
  <si>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</si>
  <si>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</si>
  <si>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</si>
  <si>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</si>
  <si>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</si>
  <si>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</si>
  <si>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</si>
  <si>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</si>
  <si>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</si>
  <si>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</si>
  <si>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</si>
  <si>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</si>
  <si>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</si>
  <si>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</si>
  <si>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</si>
  <si>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</si>
  <si>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</si>
  <si>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</si>
  <si>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</si>
  <si>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</si>
  <si>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</si>
  <si>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</si>
  <si>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</si>
  <si>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</si>
  <si>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</si>
  <si>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</si>
  <si>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</si>
  <si>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</si>
  <si>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</si>
  <si>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</si>
  <si>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</si>
  <si>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</si>
  <si>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</si>
  <si>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</si>
  <si>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</si>
  <si>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</si>
  <si>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</si>
  <si>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</si>
  <si>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</si>
  <si>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</si>
  <si>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</si>
  <si>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</si>
  <si>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</si>
  <si>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</si>
  <si>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</si>
  <si>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</si>
  <si>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</si>
  <si>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</si>
  <si>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</si>
  <si>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</si>
  <si>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</si>
  <si>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</si>
  <si>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</si>
  <si>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</si>
  <si>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</si>
  <si>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</si>
  <si>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</si>
  <si>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</si>
  <si>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</si>
  <si>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</si>
  <si>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</si>
  <si>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</si>
  <si>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</si>
  <si>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</si>
  <si>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</si>
  <si>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</si>
  <si>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</si>
  <si>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</si>
  <si>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</si>
  <si>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</si>
  <si>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</si>
  <si>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</si>
  <si>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</si>
  <si>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</si>
  <si>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</si>
  <si>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</si>
  <si>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</si>
  <si>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</si>
  <si>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</si>
  <si>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</si>
  <si>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</si>
  <si>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</si>
  <si>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</si>
  <si>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</si>
  <si>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</si>
  <si>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</si>
  <si>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</si>
  <si>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</si>
  <si>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</si>
  <si>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</si>
  <si>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</si>
  <si>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</si>
  <si>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</si>
  <si>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</si>
  <si>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</si>
  <si>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</si>
  <si>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</si>
  <si>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</si>
  <si>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</si>
  <si>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</si>
  <si>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</si>
  <si>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</si>
  <si>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</si>
  <si>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</si>
  <si>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</si>
  <si>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</si>
  <si>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</si>
  <si>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</si>
  <si>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</si>
  <si>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</si>
  <si>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</si>
  <si>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</si>
  <si>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</si>
  <si>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</si>
  <si>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</si>
  <si>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</si>
  <si>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</si>
  <si>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</si>
  <si>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</si>
  <si>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</si>
  <si>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</si>
  <si>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</si>
  <si>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</si>
  <si>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</si>
  <si>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</si>
  <si>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</si>
  <si>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</si>
  <si>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</si>
  <si>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</si>
  <si>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</si>
  <si>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</si>
  <si>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</si>
  <si>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</si>
  <si>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</si>
  <si>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</si>
  <si>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</si>
  <si>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</si>
  <si>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</si>
  <si>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</si>
  <si>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</si>
  <si>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</si>
  <si>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</si>
  <si>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</si>
  <si>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</si>
  <si>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</si>
  <si>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</si>
  <si>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</si>
  <si>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</si>
  <si>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</si>
  <si>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</si>
  <si>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</si>
  <si>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</si>
  <si>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</si>
  <si>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</si>
  <si>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</si>
  <si>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</si>
  <si>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</si>
  <si>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</si>
  <si>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</si>
  <si>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</si>
  <si>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</si>
  <si>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</si>
  <si>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</si>
  <si>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</si>
  <si>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</si>
  <si>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</si>
  <si>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</si>
  <si>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</si>
  <si>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</si>
  <si>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</si>
  <si>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</si>
  <si>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</si>
  <si>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</si>
  <si>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</si>
  <si>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</si>
  <si>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</si>
  <si>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</si>
  <si>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</si>
  <si>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</si>
  <si>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</si>
  <si>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</si>
  <si>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</si>
  <si>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</si>
  <si>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</si>
  <si>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</si>
  <si>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</si>
  <si>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</si>
  <si>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</si>
  <si>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</si>
  <si>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</si>
  <si>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</si>
  <si>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</si>
  <si>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</si>
  <si>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</si>
  <si>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</si>
  <si>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</si>
  <si>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</si>
  <si>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</si>
  <si>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</si>
  <si>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</si>
  <si>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</si>
  <si>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</si>
  <si>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</si>
  <si>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</si>
  <si>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</si>
  <si>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</si>
  <si>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</si>
  <si>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</si>
  <si>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</si>
  <si>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</si>
  <si>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</si>
  <si>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</si>
  <si>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</si>
  <si>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</si>
  <si>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</si>
  <si>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</si>
  <si>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</si>
  <si>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</si>
  <si>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</si>
  <si>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</si>
  <si>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</si>
  <si>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</si>
  <si>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</si>
  <si>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</si>
  <si>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</si>
  <si>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</si>
  <si>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</si>
  <si>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</si>
  <si>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</si>
  <si>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</si>
  <si>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</si>
  <si>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</si>
  <si>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</si>
  <si>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</si>
  <si>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</si>
  <si>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</si>
  <si>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</si>
  <si>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</si>
  <si>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</si>
  <si>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</si>
  <si>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</si>
  <si>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</si>
  <si>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</si>
  <si>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</si>
  <si>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</si>
  <si>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</si>
  <si>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</si>
  <si>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</si>
  <si>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</si>
  <si>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</si>
  <si>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</si>
  <si>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</si>
  <si>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</si>
  <si>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</si>
  <si>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</si>
  <si>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</si>
  <si>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</si>
  <si>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</si>
  <si>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</si>
  <si>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</si>
  <si>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</si>
  <si>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</si>
  <si>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</si>
  <si>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</si>
  <si>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</si>
  <si>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</si>
  <si>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</si>
  <si>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</si>
  <si>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</si>
  <si>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</si>
  <si>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</si>
  <si>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</si>
  <si>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</si>
  <si>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</si>
  <si>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</si>
  <si>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</si>
  <si>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</si>
  <si>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</si>
  <si>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</si>
  <si>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</si>
  <si>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</si>
  <si>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</si>
  <si>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</si>
  <si>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</si>
  <si>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</si>
  <si>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</si>
  <si>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</si>
  <si>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</si>
  <si>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</si>
  <si>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</si>
  <si>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</si>
  <si>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</si>
  <si>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</si>
  <si>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</si>
  <si>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</si>
  <si>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</si>
  <si>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</si>
  <si>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</si>
  <si>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</si>
  <si>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</si>
  <si>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</si>
  <si>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</si>
  <si>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</si>
  <si>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</si>
  <si>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</si>
  <si>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</si>
  <si>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</si>
  <si>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</si>
  <si>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</si>
  <si>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</si>
  <si>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</si>
  <si>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</si>
  <si>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</si>
  <si>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</si>
  <si>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</si>
  <si>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</si>
  <si>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</si>
  <si>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</si>
  <si>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</si>
  <si>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</si>
  <si>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</si>
  <si>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</si>
  <si>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</si>
  <si>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</si>
  <si>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</si>
  <si>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</si>
  <si>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</si>
  <si>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</si>
  <si>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</si>
  <si>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</si>
  <si>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</si>
  <si>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</si>
  <si>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</si>
  <si>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</si>
  <si>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</si>
  <si>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</si>
  <si>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</si>
  <si>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</si>
  <si>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</si>
  <si>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</si>
  <si>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</si>
  <si>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</si>
  <si>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</si>
  <si>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</si>
  <si>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</si>
  <si>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</si>
  <si>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</si>
  <si>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</si>
  <si>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</si>
  <si>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</si>
  <si>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</si>
  <si>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</si>
  <si>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</si>
  <si>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</si>
  <si>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</si>
  <si>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</si>
  <si>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</si>
  <si>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</si>
  <si>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</si>
  <si>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</si>
  <si>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</si>
  <si>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</si>
  <si>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</si>
  <si>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</si>
  <si>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</si>
  <si>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</si>
  <si>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</si>
  <si>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</si>
  <si>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</si>
  <si>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</si>
  <si>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</si>
  <si>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</si>
  <si>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</si>
  <si>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</si>
  <si>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</si>
  <si>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</si>
  <si>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</si>
  <si>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</si>
  <si>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</si>
  <si>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</si>
  <si>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</si>
  <si>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</si>
  <si>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</si>
  <si>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</si>
  <si>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</si>
  <si>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</si>
  <si>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</si>
  <si>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</si>
  <si>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</si>
  <si>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</si>
  <si>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</si>
  <si>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</si>
  <si>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</si>
  <si>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</si>
  <si>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</si>
  <si>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</si>
  <si>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</si>
  <si>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</si>
  <si>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</si>
  <si>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</si>
  <si>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</si>
  <si>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</si>
  <si>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</si>
  <si>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</si>
  <si>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</si>
  <si>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</si>
  <si>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</si>
  <si>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</si>
  <si>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</si>
  <si>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</si>
  <si>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</si>
  <si>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</si>
  <si>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</si>
  <si>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</si>
  <si>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</si>
  <si>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</si>
  <si>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</si>
  <si>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</si>
  <si>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</si>
  <si>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</si>
  <si>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</si>
  <si>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</si>
  <si>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</si>
  <si>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</si>
  <si>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</si>
  <si>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</si>
  <si>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</si>
  <si>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</si>
  <si>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</si>
  <si>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</si>
  <si>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</si>
  <si>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</si>
  <si>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</si>
  <si>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</si>
  <si>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</si>
  <si>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</si>
  <si>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</si>
  <si>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</si>
  <si>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</si>
  <si>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</si>
  <si>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</si>
  <si>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</si>
  <si>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</si>
  <si>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</si>
  <si>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</si>
  <si>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</si>
  <si>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</si>
  <si>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</si>
  <si>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</si>
  <si>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</si>
  <si>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</si>
  <si>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</si>
  <si>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</si>
  <si>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</si>
  <si>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</si>
  <si>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</si>
  <si>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</si>
  <si>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</si>
  <si>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</si>
  <si>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</si>
  <si>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</si>
  <si>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</si>
  <si>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</si>
  <si>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</si>
  <si>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</si>
  <si>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</si>
  <si>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</si>
  <si>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</si>
  <si>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</si>
  <si>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</si>
  <si>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</si>
  <si>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</si>
  <si>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</si>
  <si>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</si>
  <si>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</si>
  <si>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</si>
  <si>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</si>
  <si>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</si>
  <si>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</si>
  <si>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</si>
  <si>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</si>
  <si>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</si>
  <si>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</si>
  <si>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</si>
  <si>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</si>
  <si>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</si>
  <si>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</si>
  <si>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</si>
  <si>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</si>
  <si>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</si>
  <si>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</si>
  <si>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</si>
  <si>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</si>
  <si>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</si>
  <si>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</si>
  <si>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</si>
  <si>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</si>
  <si>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</si>
  <si>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</si>
  <si>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</si>
  <si>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</si>
  <si>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</si>
  <si>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</si>
  <si>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</si>
  <si>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</si>
  <si>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</si>
  <si>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</si>
  <si>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</si>
  <si>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</si>
  <si>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</si>
  <si>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</si>
  <si>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</si>
  <si>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</si>
  <si>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</si>
  <si>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</si>
  <si>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</si>
  <si>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</si>
  <si>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</si>
  <si>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</si>
  <si>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</si>
  <si>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</si>
  <si>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</si>
  <si>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</si>
  <si>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</si>
  <si>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</si>
  <si>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</si>
  <si>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</si>
  <si>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</si>
  <si>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</si>
  <si>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</si>
  <si>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</si>
  <si>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</si>
  <si>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</si>
  <si>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</si>
  <si>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</si>
  <si>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</si>
  <si>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</si>
  <si>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</si>
  <si>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</si>
  <si>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</si>
  <si>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</si>
  <si>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</si>
  <si>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</si>
  <si>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</si>
  <si>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</si>
  <si>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</si>
  <si>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</si>
  <si>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</si>
  <si>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</si>
  <si>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</si>
  <si>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</si>
  <si>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</si>
  <si>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</si>
  <si>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</si>
  <si>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</si>
  <si>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</si>
  <si>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</si>
  <si>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</si>
  <si>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</si>
  <si>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</si>
  <si>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</si>
  <si>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</si>
  <si>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</si>
  <si>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</si>
  <si>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</si>
  <si>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</si>
  <si>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</si>
  <si>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</si>
  <si>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</si>
  <si>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</si>
  <si>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</si>
  <si>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</si>
  <si>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</si>
  <si>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</si>
  <si>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</si>
  <si>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</si>
  <si>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</si>
  <si>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</si>
  <si>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</si>
  <si>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</si>
  <si>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</si>
  <si>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</si>
  <si>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</si>
  <si>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</si>
  <si>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</si>
  <si>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</si>
  <si>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</si>
  <si>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</si>
  <si>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</si>
  <si>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</si>
  <si>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</si>
  <si>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</si>
  <si>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</si>
  <si>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</si>
  <si>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</si>
  <si>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</si>
  <si>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</si>
  <si>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</si>
  <si>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</si>
  <si>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</si>
  <si>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</si>
  <si>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</si>
  <si>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</si>
  <si>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</si>
  <si>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</si>
  <si>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</si>
  <si>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</si>
  <si>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</si>
  <si>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</si>
  <si>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</si>
  <si>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</si>
  <si>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</si>
  <si>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</si>
  <si>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</si>
  <si>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</si>
  <si>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</si>
  <si>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</si>
  <si>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</si>
  <si>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</si>
  <si>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</si>
  <si>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</si>
  <si>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</si>
  <si>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</si>
  <si>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</si>
  <si>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</si>
  <si>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</si>
  <si>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</si>
  <si>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</si>
  <si>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</si>
  <si>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</si>
  <si>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</si>
  <si>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</si>
  <si>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</si>
  <si>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</si>
  <si>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</si>
  <si>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</si>
  <si>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</si>
  <si>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</si>
  <si>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</si>
  <si>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</si>
  <si>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</si>
  <si>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</si>
  <si>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</si>
  <si>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</si>
  <si>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</si>
  <si>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</si>
  <si>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</si>
  <si>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</si>
  <si>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</si>
  <si>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</si>
  <si>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</si>
  <si>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</si>
  <si>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</si>
  <si>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</si>
  <si>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</si>
  <si>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</si>
  <si>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</si>
  <si>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</si>
  <si>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</si>
  <si>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</si>
  <si>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</si>
  <si>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</si>
  <si>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</si>
  <si>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</si>
  <si>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</si>
  <si>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</si>
  <si>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</si>
  <si>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</si>
  <si>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</si>
  <si>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</si>
  <si>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</si>
  <si>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</si>
  <si>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</si>
  <si>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</si>
  <si>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</si>
  <si>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</si>
  <si>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</si>
  <si>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</si>
  <si>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</si>
  <si>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</si>
  <si>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</si>
  <si>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</si>
  <si>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</si>
  <si>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</si>
  <si>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</si>
  <si>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</si>
  <si>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</si>
  <si>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</si>
  <si>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</si>
  <si>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</si>
  <si>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</si>
  <si>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</si>
  <si>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</si>
  <si>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</si>
  <si>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</si>
  <si>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</si>
  <si>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</si>
  <si>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</si>
  <si>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</si>
  <si>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</si>
  <si>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</si>
  <si>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</si>
  <si>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</si>
  <si>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</si>
  <si>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</si>
  <si>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</si>
  <si>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</si>
  <si>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</si>
  <si>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</si>
  <si>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</si>
  <si>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</si>
  <si>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</si>
  <si>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</si>
  <si>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</si>
  <si>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</si>
  <si>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</si>
  <si>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</si>
  <si>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</si>
  <si>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</si>
  <si>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</si>
  <si>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</si>
  <si>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</si>
  <si>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</si>
  <si>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</si>
  <si>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</si>
  <si>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</si>
  <si>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</si>
  <si>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</si>
  <si>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</si>
  <si>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</si>
  <si>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</si>
  <si>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</si>
  <si>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</si>
  <si>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</si>
  <si>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</si>
  <si>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</si>
  <si>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</si>
  <si>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</si>
  <si>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</si>
  <si>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</si>
  <si>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</si>
  <si>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</si>
  <si>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</si>
  <si>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</si>
  <si>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</si>
  <si>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</si>
  <si>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</si>
  <si>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</si>
  <si>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</si>
  <si>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</si>
  <si>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</si>
  <si>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</si>
  <si>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</si>
  <si>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</si>
  <si>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</si>
  <si>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</si>
  <si>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</si>
  <si>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</si>
  <si>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</si>
  <si>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</si>
  <si>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</si>
  <si>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</si>
  <si>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</si>
  <si>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</si>
  <si>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</si>
  <si>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</si>
  <si>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</si>
  <si>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</si>
  <si>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</si>
  <si>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</si>
  <si>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</si>
  <si>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</si>
  <si>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</si>
  <si>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</si>
  <si>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</si>
  <si>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</si>
  <si>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</si>
  <si>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</si>
  <si>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</si>
  <si>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</si>
  <si>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</si>
  <si>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</si>
  <si>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</si>
  <si>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</si>
  <si>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</si>
  <si>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</si>
  <si>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</si>
  <si>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</si>
  <si>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</si>
  <si>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</si>
  <si>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</si>
  <si>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</si>
  <si>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</si>
  <si>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</si>
  <si>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</si>
  <si>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</si>
  <si>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</si>
  <si>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</si>
  <si>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</si>
  <si>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</si>
  <si>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</si>
  <si>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</si>
  <si>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</si>
  <si>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</si>
  <si>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</si>
  <si>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</si>
  <si>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</si>
  <si>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</si>
  <si>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</si>
  <si>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</si>
  <si>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</si>
  <si>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</si>
  <si>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</si>
  <si>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</si>
  <si>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</si>
  <si>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</si>
  <si>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</si>
  <si>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</si>
  <si>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</si>
  <si>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</si>
  <si>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</si>
  <si>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</si>
  <si>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</si>
  <si>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</si>
  <si>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</si>
  <si>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</si>
  <si>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</si>
  <si>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</si>
  <si>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</si>
  <si>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</si>
  <si>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</si>
  <si>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</si>
  <si>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</si>
  <si>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</si>
  <si>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</si>
  <si>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</si>
  <si>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</si>
  <si>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</si>
  <si>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</si>
  <si>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</si>
  <si>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</si>
  <si>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</si>
  <si>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</si>
  <si>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</si>
  <si>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</si>
  <si>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</si>
  <si>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</si>
  <si>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</si>
  <si>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</si>
  <si>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</si>
  <si>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</si>
  <si>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</si>
  <si>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</si>
  <si>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</si>
  <si>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</si>
  <si>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</si>
  <si>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</si>
  <si>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</si>
  <si>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</si>
  <si>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</si>
  <si>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</si>
  <si>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</si>
  <si>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</si>
  <si>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</si>
  <si>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</si>
  <si>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</si>
  <si>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</si>
  <si>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</si>
  <si>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</si>
  <si>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</si>
  <si>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</si>
  <si>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</si>
  <si>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</si>
  <si>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</si>
  <si>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</si>
  <si>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</si>
  <si>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</si>
  <si>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</si>
  <si>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</si>
  <si>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</si>
  <si>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</si>
  <si>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</si>
  <si>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</si>
  <si>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</si>
  <si>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</si>
  <si>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</si>
  <si>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</si>
  <si>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</si>
  <si>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</si>
  <si>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</si>
  <si>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</si>
  <si>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</si>
  <si>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</si>
  <si>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</si>
  <si>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</si>
  <si>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</si>
  <si>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</si>
  <si>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</si>
  <si>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</si>
  <si>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</si>
  <si>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</si>
  <si>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</si>
  <si>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</si>
  <si>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</si>
  <si>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</si>
  <si>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</si>
  <si>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</si>
  <si>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</si>
  <si>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</si>
  <si>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</si>
  <si>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</si>
  <si>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</si>
  <si>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</si>
  <si>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</si>
  <si>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</si>
  <si>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</si>
  <si>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</si>
  <si>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</si>
  <si>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</si>
  <si>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</si>
  <si>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</si>
  <si>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</si>
  <si>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</si>
  <si>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</si>
  <si>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</si>
  <si>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</si>
  <si>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</si>
  <si>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</si>
  <si>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</si>
  <si>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</si>
  <si>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</si>
  <si>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</si>
  <si>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</si>
  <si>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</si>
  <si>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</si>
  <si>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</si>
  <si>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</si>
  <si>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</si>
  <si>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</si>
  <si>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</si>
  <si>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</si>
  <si>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</si>
  <si>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</si>
  <si>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</si>
  <si>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</si>
  <si>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</si>
  <si>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</si>
  <si>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</si>
  <si>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</si>
  <si>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</si>
  <si>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</si>
  <si>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</si>
  <si>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</si>
  <si>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</si>
  <si>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</si>
  <si>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</si>
  <si>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</si>
  <si>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</si>
  <si>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</si>
  <si>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</si>
  <si>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</si>
  <si>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</si>
  <si>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</si>
  <si>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</si>
  <si>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</si>
  <si>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</si>
  <si>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</si>
  <si>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</si>
  <si>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</si>
  <si>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</si>
  <si>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</si>
  <si>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</si>
  <si>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</si>
  <si>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</si>
  <si>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</si>
  <si>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</si>
  <si>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</si>
  <si>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</si>
  <si>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</si>
  <si>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</si>
  <si>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</si>
  <si>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</si>
  <si>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</si>
  <si>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</si>
  <si>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</si>
  <si>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</si>
  <si>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</si>
  <si>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</si>
  <si>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</si>
  <si>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</si>
  <si>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</si>
  <si>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</si>
  <si>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</si>
  <si>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</si>
  <si>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</si>
  <si>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</si>
  <si>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</si>
  <si>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</si>
  <si>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</si>
  <si>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</si>
  <si>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</si>
  <si>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</si>
  <si>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</si>
  <si>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Carestream Health</t>
  </si>
  <si>
    <t>Henan Yuguang Gold &amp; Lead Co., Ltd.</t>
  </si>
  <si>
    <t>HwaSeong CJ Co., Ltd.</t>
  </si>
  <si>
    <t>SAMWON Metals Corp.</t>
  </si>
  <si>
    <t>Shenzhen Zhonghenglong Real Industry Co., Ltd.</t>
  </si>
  <si>
    <t>Super Dragon Technology Co., Ltd.</t>
  </si>
  <si>
    <t>Zhongkuang Gold Industry Co., Ltd.</t>
  </si>
  <si>
    <t>PT Menara Cipta Mulia</t>
  </si>
  <si>
    <t>PT Prima Timah Utama</t>
  </si>
  <si>
    <t>Unecha Refractory Metals Plant</t>
  </si>
  <si>
    <t>CID002519</t>
  </si>
  <si>
    <t>CID002527</t>
  </si>
  <si>
    <t>CID001810</t>
  </si>
  <si>
    <t>CID002214</t>
  </si>
  <si>
    <t>CID002835</t>
  </si>
  <si>
    <t>CID001458</t>
  </si>
  <si>
    <t>DUNS Number 79-316-9512</t>
  </si>
  <si>
    <t>150 Verona Street, Rochester, New York, 14608 (USA)</t>
  </si>
  <si>
    <t xml:space="preserve">emeaehs@carestream.com </t>
  </si>
  <si>
    <t>(US)  +1-888-777-2072</t>
  </si>
  <si>
    <t>Herman Lee Baker Jr.</t>
  </si>
  <si>
    <t>Corporate EHS &amp; Sustainability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</si>
</sst>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96">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
      <sz val="12"/>
      <name val="Cambria"/>
      <family val="1"/>
      <scheme val="major"/>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7">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
      <left style="thin">
        <color auto="1"/>
      </left>
      <right/>
      <top style="thin">
        <color auto="1"/>
      </top>
      <bottom style="thin">
        <color auto="1"/>
      </bottom>
      <diagonal/>
    </border>
    <border>
      <left/>
      <right/>
      <top style="thin">
        <color auto="1"/>
      </top>
      <bottom style="thin">
        <color auto="1"/>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41" fontId="10" fillId="0" borderId="0" applyFont="0" applyFill="0" applyBorder="0" applyAlignment="0" applyProtection="0"/>
    <xf numFmtId="168"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4" fontId="88"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64" fontId="2" fillId="0" borderId="0"/>
    <xf numFmtId="0" fontId="88" fillId="0" borderId="0"/>
    <xf numFmtId="0" fontId="88" fillId="0" borderId="0"/>
    <xf numFmtId="164"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64" fontId="2" fillId="0" borderId="0"/>
    <xf numFmtId="0" fontId="7" fillId="0" borderId="0"/>
    <xf numFmtId="164" fontId="88" fillId="0" borderId="0"/>
    <xf numFmtId="0" fontId="55" fillId="0" borderId="0"/>
    <xf numFmtId="0" fontId="55" fillId="0" borderId="0"/>
    <xf numFmtId="164" fontId="7" fillId="0" borderId="0"/>
    <xf numFmtId="0" fontId="55" fillId="0" borderId="0"/>
    <xf numFmtId="0" fontId="7" fillId="0" borderId="0"/>
    <xf numFmtId="0" fontId="55" fillId="0" borderId="0"/>
    <xf numFmtId="0" fontId="72" fillId="0" borderId="0">
      <alignment vertical="center"/>
    </xf>
    <xf numFmtId="164" fontId="2" fillId="0" borderId="0"/>
    <xf numFmtId="0" fontId="73" fillId="0" borderId="0"/>
    <xf numFmtId="0" fontId="55" fillId="0" borderId="0"/>
    <xf numFmtId="0" fontId="88" fillId="0" borderId="0"/>
    <xf numFmtId="0" fontId="73" fillId="0" borderId="0"/>
    <xf numFmtId="0" fontId="55" fillId="0" borderId="0"/>
    <xf numFmtId="0" fontId="55" fillId="0" borderId="0"/>
    <xf numFmtId="0" fontId="55" fillId="0" borderId="0"/>
    <xf numFmtId="0" fontId="55" fillId="0" borderId="0"/>
    <xf numFmtId="0" fontId="55" fillId="0" borderId="0"/>
    <xf numFmtId="0" fontId="88" fillId="0" borderId="0"/>
    <xf numFmtId="0" fontId="55" fillId="0" borderId="0"/>
    <xf numFmtId="0" fontId="88" fillId="0" borderId="0"/>
    <xf numFmtId="0" fontId="55"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73" fillId="0" borderId="0"/>
    <xf numFmtId="0" fontId="73" fillId="0" borderId="0"/>
    <xf numFmtId="0" fontId="55"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55" fillId="0" borderId="0"/>
    <xf numFmtId="0" fontId="55" fillId="0" borderId="0"/>
    <xf numFmtId="164" fontId="2" fillId="0" borderId="0"/>
    <xf numFmtId="164" fontId="2" fillId="0" borderId="0"/>
    <xf numFmtId="0" fontId="74" fillId="0" borderId="0"/>
    <xf numFmtId="0" fontId="88"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88"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64" fontId="10" fillId="0" borderId="0"/>
    <xf numFmtId="0" fontId="88" fillId="0" borderId="0"/>
    <xf numFmtId="0" fontId="88" fillId="0" borderId="0"/>
    <xf numFmtId="0" fontId="88" fillId="0" borderId="0"/>
    <xf numFmtId="164" fontId="88" fillId="0" borderId="0"/>
    <xf numFmtId="0" fontId="1" fillId="0" borderId="0"/>
  </cellStyleXfs>
  <cellXfs count="454">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64"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88"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5"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27" xfId="0" applyFont="1" applyFill="1" applyBorder="1" applyAlignment="1" applyProtection="1">
      <alignment horizontal="left" vertical="center" wrapText="1"/>
      <protection hidden="1"/>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50" fillId="0" borderId="0" xfId="527"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66"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64"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64" fontId="0" fillId="33" borderId="13" xfId="0" applyNumberFormat="1" applyFont="1" applyFill="1" applyBorder="1" applyAlignment="1">
      <alignment vertical="top" wrapText="1"/>
    </xf>
    <xf numFmtId="164" fontId="0" fillId="33" borderId="0" xfId="0" applyNumberFormat="1" applyFont="1" applyFill="1" applyBorder="1" applyAlignment="1"/>
    <xf numFmtId="164" fontId="9" fillId="33" borderId="0" xfId="0" applyNumberFormat="1" applyFont="1" applyFill="1" applyBorder="1"/>
    <xf numFmtId="164" fontId="14" fillId="33" borderId="0" xfId="0" applyNumberFormat="1" applyFont="1" applyFill="1" applyBorder="1" applyAlignment="1">
      <alignment horizontal="center" vertical="center" wrapText="1"/>
    </xf>
    <xf numFmtId="164" fontId="11" fillId="33" borderId="0" xfId="0" applyNumberFormat="1" applyFont="1" applyFill="1" applyBorder="1" applyAlignment="1">
      <alignment horizontal="center" vertical="center"/>
    </xf>
    <xf numFmtId="164" fontId="0" fillId="33" borderId="0" xfId="0" applyNumberFormat="1" applyFont="1" applyFill="1" applyBorder="1"/>
    <xf numFmtId="164" fontId="27" fillId="33" borderId="20"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66"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6" fillId="0" borderId="0" xfId="0" applyFont="1" applyFill="1" applyAlignment="1">
      <alignment vertical="top" wrapText="1"/>
    </xf>
    <xf numFmtId="0" fontId="14"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5"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7"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64" fontId="53" fillId="0" borderId="0" xfId="480" applyFont="1" applyFill="1" applyAlignment="1">
      <alignment horizontal="left" vertical="top" wrapText="1"/>
    </xf>
    <xf numFmtId="164"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0" fontId="89" fillId="0" borderId="0" xfId="507" applyNumberFormat="1" applyFont="1" applyFill="1" applyAlignment="1">
      <alignment horizontal="left" vertical="top" wrapText="1"/>
    </xf>
    <xf numFmtId="0" fontId="49" fillId="0" borderId="0" xfId="507" applyNumberFormat="1" applyFont="1" applyFill="1" applyAlignment="1">
      <alignment horizontal="left" vertical="top" wrapText="1"/>
    </xf>
    <xf numFmtId="164" fontId="53" fillId="0" borderId="0" xfId="480" applyFont="1" applyFill="1" applyAlignment="1">
      <alignment vertical="top" wrapText="1"/>
    </xf>
    <xf numFmtId="9" fontId="90"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0"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0" fillId="0" borderId="0" xfId="502" applyFont="1" applyFill="1" applyAlignment="1">
      <alignment horizontal="left" vertical="top" wrapText="1"/>
    </xf>
    <xf numFmtId="164" fontId="53" fillId="0" borderId="0" xfId="480" applyFont="1" applyFill="1" applyAlignment="1" applyProtection="1">
      <alignment horizontal="left" vertical="top" wrapText="1"/>
    </xf>
    <xf numFmtId="0" fontId="91" fillId="0" borderId="0" xfId="502" applyFont="1" applyFill="1" applyAlignment="1">
      <alignment vertical="top" wrapText="1"/>
    </xf>
    <xf numFmtId="0" fontId="81" fillId="0" borderId="0" xfId="502" applyFont="1" applyFill="1" applyAlignment="1">
      <alignment vertical="top" wrapText="1"/>
    </xf>
    <xf numFmtId="164" fontId="53" fillId="0" borderId="0" xfId="480" applyFont="1" applyFill="1" applyBorder="1" applyAlignment="1">
      <alignment vertical="top" wrapText="1"/>
    </xf>
    <xf numFmtId="0" fontId="92" fillId="0" borderId="0" xfId="0" applyFont="1"/>
    <xf numFmtId="164" fontId="53" fillId="0" borderId="0" xfId="480" applyFont="1" applyFill="1" applyAlignment="1" applyProtection="1">
      <alignment horizontal="left" vertical="top" wrapText="1"/>
      <protection hidden="1"/>
    </xf>
    <xf numFmtId="0" fontId="93" fillId="0" borderId="0" xfId="527" applyFont="1" applyFill="1" applyAlignment="1">
      <alignment horizontal="left" vertical="top" wrapText="1"/>
    </xf>
    <xf numFmtId="164"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49" fontId="0" fillId="0" borderId="19" xfId="0" applyNumberFormat="1" applyBorder="1" applyProtection="1">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164" fontId="25" fillId="0" borderId="48" xfId="570" applyNumberFormat="1" applyFont="1" applyFill="1" applyBorder="1" applyAlignment="1">
      <alignment horizontal="center" vertical="top" wrapText="1"/>
    </xf>
    <xf numFmtId="164" fontId="25" fillId="0" borderId="49" xfId="570" applyNumberFormat="1" applyFont="1" applyFill="1" applyBorder="1" applyAlignment="1">
      <alignment horizontal="center" vertical="top" wrapText="1"/>
    </xf>
    <xf numFmtId="164" fontId="25" fillId="0" borderId="11" xfId="570" applyNumberFormat="1"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164" fontId="25" fillId="33" borderId="48" xfId="570" applyNumberFormat="1" applyFont="1" applyFill="1" applyBorder="1" applyAlignment="1">
      <alignment horizontal="center" vertical="top" wrapText="1"/>
    </xf>
    <xf numFmtId="164" fontId="25" fillId="33" borderId="49" xfId="570" applyNumberFormat="1" applyFont="1" applyFill="1" applyBorder="1" applyAlignment="1">
      <alignment horizontal="center" vertical="top" wrapText="1"/>
    </xf>
    <xf numFmtId="164" fontId="25" fillId="33" borderId="11" xfId="570" applyNumberFormat="1"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0" fontId="9" fillId="33" borderId="27" xfId="0" applyFont="1" applyFill="1" applyBorder="1" applyAlignment="1" applyProtection="1">
      <alignment horizontal="center" wrapText="1"/>
      <protection hidden="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5" fillId="33" borderId="10" xfId="0" applyFont="1" applyFill="1" applyBorder="1" applyAlignment="1" applyProtection="1">
      <alignment horizontal="center" vertical="center"/>
    </xf>
    <xf numFmtId="0" fontId="11" fillId="33" borderId="10" xfId="0" applyFont="1" applyFill="1" applyBorder="1" applyAlignment="1" applyProtection="1">
      <alignment horizontal="left" vertical="center" wrapText="1"/>
    </xf>
    <xf numFmtId="0" fontId="23" fillId="0" borderId="27" xfId="487" applyFont="1" applyFill="1" applyBorder="1" applyAlignment="1" applyProtection="1">
      <alignment horizontal="center"/>
      <protection hidden="1"/>
    </xf>
    <xf numFmtId="0" fontId="14" fillId="33" borderId="10" xfId="0" applyFont="1" applyFill="1" applyBorder="1" applyAlignment="1" applyProtection="1">
      <alignment horizontal="left" wrapText="1"/>
      <protection hidden="1"/>
    </xf>
    <xf numFmtId="0" fontId="83" fillId="0" borderId="34" xfId="487" applyFont="1" applyFill="1" applyBorder="1" applyAlignment="1" applyProtection="1">
      <alignment horizontal="left" vertical="center" wrapText="1"/>
    </xf>
    <xf numFmtId="0" fontId="83" fillId="0" borderId="27" xfId="487" applyFont="1" applyFill="1" applyBorder="1" applyAlignment="1" applyProtection="1">
      <alignment horizontal="left" vertical="center" wrapText="1"/>
    </xf>
    <xf numFmtId="0" fontId="83" fillId="0" borderId="62" xfId="487" applyFont="1" applyFill="1" applyBorder="1" applyAlignment="1" applyProtection="1">
      <alignment horizontal="left" vertical="center" wrapText="1"/>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21" fillId="0" borderId="27" xfId="487"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7" fillId="33" borderId="0" xfId="0" applyFont="1" applyFill="1" applyBorder="1" applyAlignment="1" applyProtection="1">
      <alignment horizontal="center" wrapText="1"/>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pplyProtection="1">
      <alignment horizontal="center" vertical="center" wrapText="1"/>
      <protection hidden="1"/>
    </xf>
    <xf numFmtId="49" fontId="84" fillId="33" borderId="61" xfId="487" applyNumberFormat="1" applyFont="1" applyFill="1" applyBorder="1" applyAlignment="1" applyProtection="1">
      <alignment horizontal="left" vertical="center" wrapText="1"/>
      <protection locked="0"/>
    </xf>
    <xf numFmtId="49" fontId="84" fillId="33" borderId="10" xfId="487" applyNumberFormat="1" applyFont="1" applyFill="1" applyBorder="1" applyAlignment="1" applyProtection="1">
      <alignment horizontal="left" vertical="center" wrapText="1"/>
      <protection locked="0"/>
    </xf>
    <xf numFmtId="49" fontId="84"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165" fontId="14" fillId="33" borderId="34" xfId="0" applyNumberFormat="1" applyFont="1" applyFill="1" applyBorder="1" applyAlignment="1" applyProtection="1">
      <alignment horizontal="center" wrapText="1"/>
      <protection locked="0"/>
    </xf>
    <xf numFmtId="165"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pplyProtection="1">
      <alignment horizontal="center" vertical="center" wrapText="1"/>
      <protection hidden="1"/>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xf numFmtId="49" fontId="15" fillId="33" borderId="61" xfId="0" applyNumberFormat="1" applyFont="1" applyFill="1" applyBorder="1" applyAlignment="1" applyProtection="1">
      <alignment horizontal="left" vertical="center" wrapText="1"/>
      <protection locked="0" hidden="1"/>
    </xf>
    <xf numFmtId="49" fontId="15" fillId="33" borderId="10" xfId="0" applyNumberFormat="1" applyFont="1" applyFill="1" applyBorder="1" applyAlignment="1" applyProtection="1">
      <alignment horizontal="left" vertical="center" wrapText="1"/>
      <protection locked="0" hidden="1"/>
    </xf>
    <xf numFmtId="49" fontId="15" fillId="33" borderId="37" xfId="0" applyNumberFormat="1" applyFont="1" applyFill="1" applyBorder="1" applyAlignment="1" applyProtection="1">
      <alignment horizontal="left" vertical="center" wrapText="1"/>
      <protection locked="0" hidden="1"/>
    </xf>
    <xf numFmtId="0" fontId="15" fillId="33" borderId="61" xfId="0" applyFont="1" applyFill="1" applyBorder="1" applyAlignment="1" applyProtection="1">
      <alignment horizontal="left" vertical="center" wrapText="1"/>
      <protection locked="0" hidden="1"/>
    </xf>
    <xf numFmtId="0" fontId="15" fillId="33" borderId="10" xfId="0" applyFont="1" applyFill="1" applyBorder="1" applyAlignment="1" applyProtection="1">
      <alignment horizontal="left" vertical="center" wrapText="1"/>
      <protection locked="0" hidden="1"/>
    </xf>
    <xf numFmtId="0" fontId="15" fillId="33" borderId="37" xfId="0" applyFont="1" applyFill="1" applyBorder="1" applyAlignment="1" applyProtection="1">
      <alignment horizontal="left" vertical="center" wrapText="1"/>
      <protection locked="0" hidden="1"/>
    </xf>
    <xf numFmtId="0" fontId="15" fillId="33" borderId="63" xfId="0" applyFont="1" applyFill="1" applyBorder="1" applyAlignment="1" applyProtection="1">
      <alignment horizontal="left" vertical="center" wrapText="1"/>
      <protection locked="0" hidden="1"/>
    </xf>
    <xf numFmtId="0" fontId="15" fillId="33" borderId="28" xfId="0" applyFont="1" applyFill="1" applyBorder="1" applyAlignment="1" applyProtection="1">
      <alignment horizontal="left" vertical="center" wrapText="1"/>
      <protection locked="0" hidden="1"/>
    </xf>
    <xf numFmtId="0" fontId="15" fillId="33" borderId="53" xfId="0" applyFont="1" applyFill="1" applyBorder="1" applyAlignment="1" applyProtection="1">
      <alignment horizontal="left" vertical="center" wrapText="1"/>
      <protection locked="0" hidden="1"/>
    </xf>
    <xf numFmtId="0" fontId="95" fillId="0" borderId="65" xfId="0" applyFont="1" applyBorder="1" applyAlignment="1" applyProtection="1">
      <alignment horizontal="left" wrapText="1"/>
      <protection locked="0" hidden="1"/>
    </xf>
    <xf numFmtId="0" fontId="95" fillId="0" borderId="66" xfId="0" applyFont="1" applyBorder="1" applyAlignment="1" applyProtection="1">
      <alignment horizontal="left" wrapText="1"/>
      <protection locked="0" hidden="1"/>
    </xf>
    <xf numFmtId="0" fontId="95" fillId="0" borderId="20" xfId="0" applyFont="1" applyBorder="1" applyAlignment="1" applyProtection="1">
      <alignment horizontal="left" wrapText="1"/>
      <protection locked="0" hidden="1"/>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847B6E86-FBAA-4447-A2D3-23B088528AA3}"/>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119">
    <dxf>
      <fill>
        <patternFill>
          <bgColor indexed="13"/>
        </patternFill>
      </fill>
    </dxf>
    <dxf>
      <fill>
        <patternFill patternType="none">
          <bgColor indexed="65"/>
        </patternFill>
      </fill>
    </dxf>
    <dxf>
      <fill>
        <patternFill>
          <bgColor indexed="13"/>
        </patternFill>
      </fill>
    </dxf>
    <dxf>
      <fill>
        <patternFill patternType="none">
          <bgColor indexed="65"/>
        </patternFill>
      </fill>
    </dxf>
    <dxf>
      <fill>
        <patternFill>
          <bgColor indexed="13"/>
        </patternFill>
      </fill>
    </dxf>
    <dxf>
      <fill>
        <patternFill patternType="none">
          <bgColor indexed="65"/>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3"/>
  <sheetViews>
    <sheetView showGridLines="0" topLeftCell="A2" workbookViewId="0">
      <pane xSplit="1" ySplit="11" topLeftCell="B49" activePane="bottomRight" state="frozen"/>
      <selection activeCell="A4" sqref="A4"/>
      <selection pane="topRight" activeCell="A4" sqref="A4"/>
      <selection pane="bottomLeft" activeCell="A4" sqref="A4"/>
      <selection pane="bottomRight" activeCell="B51" sqref="B51"/>
    </sheetView>
  </sheetViews>
  <sheetFormatPr defaultColWidth="9" defaultRowHeight="12.75"/>
  <cols>
    <col min="1" max="1" width="0.875" style="113" customWidth="1"/>
    <col min="2" max="2" width="8" style="113" customWidth="1"/>
    <col min="3" max="3" width="8.625" style="113" customWidth="1"/>
    <col min="4" max="4" width="13" style="215" customWidth="1"/>
    <col min="5" max="5" width="42.375" style="113" customWidth="1"/>
    <col min="6" max="6" width="53.375" style="113" customWidth="1"/>
    <col min="7" max="7" width="0.875" style="113" customWidth="1"/>
    <col min="8" max="16384" width="9" style="113"/>
  </cols>
  <sheetData>
    <row r="1" spans="1:7" ht="13.5" thickTop="1">
      <c r="A1" s="9"/>
      <c r="B1" s="10"/>
      <c r="C1" s="10"/>
      <c r="D1" s="207"/>
      <c r="E1" s="10"/>
      <c r="F1" s="10"/>
      <c r="G1" s="11"/>
    </row>
    <row r="2" spans="1:7">
      <c r="A2" s="354"/>
      <c r="B2" s="38" t="s">
        <v>870</v>
      </c>
      <c r="C2" s="36"/>
      <c r="D2" s="208"/>
      <c r="E2" s="3"/>
      <c r="F2" s="36"/>
      <c r="G2" s="34"/>
    </row>
    <row r="3" spans="1:7">
      <c r="A3" s="354"/>
      <c r="B3" s="5" t="s">
        <v>862</v>
      </c>
      <c r="C3" s="6"/>
      <c r="D3" s="209"/>
      <c r="E3" s="3"/>
      <c r="F3" s="6"/>
      <c r="G3" s="34"/>
    </row>
    <row r="4" spans="1:7" ht="15.75">
      <c r="A4" s="354"/>
      <c r="B4" s="41" t="s">
        <v>872</v>
      </c>
      <c r="C4" s="7"/>
      <c r="D4" s="210"/>
      <c r="E4" s="3"/>
      <c r="F4" s="7"/>
      <c r="G4" s="34"/>
    </row>
    <row r="5" spans="1:7">
      <c r="A5" s="354"/>
      <c r="B5" s="40" t="s">
        <v>1063</v>
      </c>
      <c r="C5" s="4"/>
      <c r="D5" s="211"/>
      <c r="E5" s="3"/>
      <c r="F5" s="4"/>
      <c r="G5" s="34"/>
    </row>
    <row r="6" spans="1:7">
      <c r="A6" s="354"/>
      <c r="B6" s="8"/>
      <c r="C6" s="8"/>
      <c r="D6" s="212"/>
      <c r="E6" s="8"/>
      <c r="F6" s="8"/>
      <c r="G6" s="34"/>
    </row>
    <row r="7" spans="1:7">
      <c r="A7" s="354"/>
      <c r="B7" s="8"/>
      <c r="C7" s="8"/>
      <c r="D7" s="212"/>
      <c r="E7" s="8"/>
      <c r="F7" s="8"/>
      <c r="G7" s="34"/>
    </row>
    <row r="8" spans="1:7">
      <c r="A8" s="354"/>
      <c r="B8" s="8"/>
      <c r="C8" s="8"/>
      <c r="D8" s="212"/>
      <c r="E8" s="8"/>
      <c r="F8" s="8"/>
      <c r="G8" s="34"/>
    </row>
    <row r="9" spans="1:7">
      <c r="A9" s="354"/>
      <c r="B9" s="357" t="s">
        <v>873</v>
      </c>
      <c r="C9" s="357"/>
      <c r="D9" s="357"/>
      <c r="E9" s="357"/>
      <c r="F9" s="357"/>
      <c r="G9" s="34"/>
    </row>
    <row r="10" spans="1:7" ht="27" customHeight="1">
      <c r="A10" s="354"/>
      <c r="B10" s="358" t="s">
        <v>448</v>
      </c>
      <c r="C10" s="358"/>
      <c r="D10" s="358"/>
      <c r="E10" s="358"/>
      <c r="F10" s="358"/>
      <c r="G10" s="34"/>
    </row>
    <row r="11" spans="1:7" ht="27" customHeight="1">
      <c r="A11" s="354"/>
      <c r="B11" s="359"/>
      <c r="C11" s="359"/>
      <c r="D11" s="359"/>
      <c r="E11" s="359"/>
      <c r="F11" s="359"/>
      <c r="G11" s="34"/>
    </row>
    <row r="12" spans="1:7">
      <c r="A12" s="354"/>
      <c r="B12" s="42" t="s">
        <v>871</v>
      </c>
      <c r="C12" s="43" t="s">
        <v>874</v>
      </c>
      <c r="D12" s="213" t="s">
        <v>875</v>
      </c>
      <c r="E12" s="43" t="s">
        <v>628</v>
      </c>
      <c r="F12" s="43" t="s">
        <v>629</v>
      </c>
      <c r="G12" s="34"/>
    </row>
    <row r="13" spans="1:7" ht="33.75">
      <c r="A13" s="354"/>
      <c r="B13" s="2">
        <v>1</v>
      </c>
      <c r="C13" s="37" t="s">
        <v>1111</v>
      </c>
      <c r="D13" s="39" t="s">
        <v>899</v>
      </c>
      <c r="E13" s="196" t="s">
        <v>876</v>
      </c>
      <c r="F13" s="196"/>
      <c r="G13" s="34"/>
    </row>
    <row r="14" spans="1:7" ht="33.75">
      <c r="A14" s="354"/>
      <c r="B14" s="2">
        <v>2</v>
      </c>
      <c r="C14" s="37" t="s">
        <v>1111</v>
      </c>
      <c r="D14" s="39" t="s">
        <v>1048</v>
      </c>
      <c r="E14" s="196" t="s">
        <v>540</v>
      </c>
      <c r="F14" s="196" t="s">
        <v>541</v>
      </c>
      <c r="G14" s="34"/>
    </row>
    <row r="15" spans="1:7" ht="89.25" customHeight="1">
      <c r="A15" s="354"/>
      <c r="B15" s="360">
        <v>2.0099999999999998</v>
      </c>
      <c r="C15" s="351" t="s">
        <v>1111</v>
      </c>
      <c r="D15" s="363" t="s">
        <v>2358</v>
      </c>
      <c r="E15" s="197" t="s">
        <v>630</v>
      </c>
      <c r="F15" s="197" t="s">
        <v>633</v>
      </c>
      <c r="G15" s="34"/>
    </row>
    <row r="16" spans="1:7" ht="99" customHeight="1">
      <c r="A16" s="354"/>
      <c r="B16" s="361"/>
      <c r="C16" s="352"/>
      <c r="D16" s="364"/>
      <c r="E16" s="198"/>
      <c r="F16" s="198" t="s">
        <v>631</v>
      </c>
      <c r="G16" s="34"/>
    </row>
    <row r="17" spans="1:7" ht="63" customHeight="1">
      <c r="A17" s="354"/>
      <c r="B17" s="362"/>
      <c r="C17" s="353"/>
      <c r="D17" s="365"/>
      <c r="E17" s="37"/>
      <c r="F17" s="37" t="s">
        <v>632</v>
      </c>
      <c r="G17" s="34"/>
    </row>
    <row r="18" spans="1:7" ht="117" customHeight="1">
      <c r="A18" s="354"/>
      <c r="B18" s="360">
        <v>2.02</v>
      </c>
      <c r="C18" s="351" t="s">
        <v>1111</v>
      </c>
      <c r="D18" s="363" t="s">
        <v>2359</v>
      </c>
      <c r="E18" s="197" t="s">
        <v>449</v>
      </c>
      <c r="F18" s="197" t="s">
        <v>535</v>
      </c>
      <c r="G18" s="34"/>
    </row>
    <row r="19" spans="1:7" ht="71.25" customHeight="1">
      <c r="A19" s="354"/>
      <c r="B19" s="361"/>
      <c r="C19" s="352"/>
      <c r="D19" s="364"/>
      <c r="E19" s="198" t="s">
        <v>539</v>
      </c>
      <c r="F19" s="198" t="s">
        <v>450</v>
      </c>
      <c r="G19" s="34"/>
    </row>
    <row r="20" spans="1:7" ht="90.75" customHeight="1">
      <c r="A20" s="354"/>
      <c r="B20" s="361"/>
      <c r="C20" s="352"/>
      <c r="D20" s="364"/>
      <c r="E20" s="198"/>
      <c r="F20" s="198" t="s">
        <v>635</v>
      </c>
      <c r="G20" s="34"/>
    </row>
    <row r="21" spans="1:7" ht="74.25" customHeight="1">
      <c r="A21" s="354"/>
      <c r="B21" s="362"/>
      <c r="C21" s="353"/>
      <c r="D21" s="365"/>
      <c r="E21" s="37"/>
      <c r="F21" s="37" t="s">
        <v>634</v>
      </c>
      <c r="G21" s="34"/>
    </row>
    <row r="22" spans="1:7" ht="90" customHeight="1">
      <c r="A22" s="354"/>
      <c r="B22" s="369">
        <v>2.0299999999999998</v>
      </c>
      <c r="C22" s="369" t="s">
        <v>845</v>
      </c>
      <c r="D22" s="348" t="s">
        <v>2360</v>
      </c>
      <c r="E22" s="351" t="s">
        <v>447</v>
      </c>
      <c r="F22" s="197" t="s">
        <v>470</v>
      </c>
      <c r="G22" s="34"/>
    </row>
    <row r="23" spans="1:7" ht="109.5" customHeight="1">
      <c r="A23" s="354"/>
      <c r="B23" s="370"/>
      <c r="C23" s="370"/>
      <c r="D23" s="349"/>
      <c r="E23" s="352"/>
      <c r="F23" s="198" t="s">
        <v>846</v>
      </c>
      <c r="G23" s="34"/>
    </row>
    <row r="24" spans="1:7" ht="74.25" customHeight="1">
      <c r="A24" s="354"/>
      <c r="B24" s="371"/>
      <c r="C24" s="371"/>
      <c r="D24" s="350"/>
      <c r="E24" s="353"/>
      <c r="F24" s="37" t="s">
        <v>446</v>
      </c>
      <c r="G24" s="34"/>
    </row>
    <row r="25" spans="1:7" ht="72" customHeight="1">
      <c r="A25" s="354"/>
      <c r="B25" s="2" t="s">
        <v>468</v>
      </c>
      <c r="C25" s="37" t="s">
        <v>469</v>
      </c>
      <c r="D25" s="39" t="s">
        <v>2361</v>
      </c>
      <c r="E25" s="37" t="s">
        <v>2356</v>
      </c>
      <c r="F25" s="37" t="s">
        <v>471</v>
      </c>
      <c r="G25" s="34"/>
    </row>
    <row r="26" spans="1:7" ht="98.25" customHeight="1">
      <c r="A26" s="354"/>
      <c r="B26" s="366">
        <v>3</v>
      </c>
      <c r="C26" s="360" t="s">
        <v>72</v>
      </c>
      <c r="D26" s="363" t="s">
        <v>2362</v>
      </c>
      <c r="E26" s="351" t="s">
        <v>0</v>
      </c>
      <c r="F26" s="197" t="s">
        <v>66</v>
      </c>
      <c r="G26" s="34"/>
    </row>
    <row r="27" spans="1:7" ht="90" customHeight="1">
      <c r="A27" s="354"/>
      <c r="B27" s="367"/>
      <c r="C27" s="361"/>
      <c r="D27" s="364"/>
      <c r="E27" s="352"/>
      <c r="F27" s="198" t="s">
        <v>61</v>
      </c>
      <c r="G27" s="34"/>
    </row>
    <row r="28" spans="1:7" ht="19.5" customHeight="1">
      <c r="A28" s="354"/>
      <c r="B28" s="367"/>
      <c r="C28" s="361"/>
      <c r="D28" s="364"/>
      <c r="E28" s="352"/>
      <c r="F28" s="198" t="s">
        <v>62</v>
      </c>
      <c r="G28" s="34"/>
    </row>
    <row r="29" spans="1:7" ht="74.45" customHeight="1">
      <c r="A29" s="354"/>
      <c r="B29" s="367"/>
      <c r="C29" s="361"/>
      <c r="D29" s="364"/>
      <c r="E29" s="352"/>
      <c r="F29" s="198" t="s">
        <v>63</v>
      </c>
      <c r="G29" s="34"/>
    </row>
    <row r="30" spans="1:7" ht="62.45" customHeight="1">
      <c r="A30" s="354"/>
      <c r="B30" s="367"/>
      <c r="C30" s="361"/>
      <c r="D30" s="364"/>
      <c r="E30" s="352"/>
      <c r="F30" s="198" t="s">
        <v>64</v>
      </c>
      <c r="G30" s="34"/>
    </row>
    <row r="31" spans="1:7" ht="81" customHeight="1">
      <c r="A31" s="354"/>
      <c r="B31" s="367"/>
      <c r="C31" s="361"/>
      <c r="D31" s="364"/>
      <c r="E31" s="352"/>
      <c r="F31" s="198" t="s">
        <v>65</v>
      </c>
      <c r="G31" s="34"/>
    </row>
    <row r="32" spans="1:7" ht="48.75" customHeight="1">
      <c r="A32" s="354"/>
      <c r="B32" s="367"/>
      <c r="C32" s="361"/>
      <c r="D32" s="364"/>
      <c r="E32" s="352"/>
      <c r="F32" s="198" t="s">
        <v>68</v>
      </c>
      <c r="G32" s="34"/>
    </row>
    <row r="33" spans="1:7" ht="98.45" customHeight="1">
      <c r="A33" s="354"/>
      <c r="B33" s="367"/>
      <c r="C33" s="361"/>
      <c r="D33" s="364"/>
      <c r="E33" s="352"/>
      <c r="F33" s="198" t="s">
        <v>67</v>
      </c>
      <c r="G33" s="34"/>
    </row>
    <row r="34" spans="1:7" ht="89.25" customHeight="1">
      <c r="A34" s="354"/>
      <c r="B34" s="367"/>
      <c r="C34" s="361"/>
      <c r="D34" s="364"/>
      <c r="E34" s="352"/>
      <c r="F34" s="198" t="s">
        <v>69</v>
      </c>
      <c r="G34" s="34"/>
    </row>
    <row r="35" spans="1:7" ht="29.25" customHeight="1">
      <c r="A35" s="354"/>
      <c r="B35" s="367"/>
      <c r="C35" s="361"/>
      <c r="D35" s="364"/>
      <c r="E35" s="352"/>
      <c r="F35" s="198" t="s">
        <v>70</v>
      </c>
      <c r="G35" s="34"/>
    </row>
    <row r="36" spans="1:7" ht="126.75">
      <c r="A36" s="354"/>
      <c r="B36" s="368"/>
      <c r="C36" s="362"/>
      <c r="D36" s="365"/>
      <c r="E36" s="353"/>
      <c r="F36" s="199" t="s">
        <v>71</v>
      </c>
      <c r="G36" s="34"/>
    </row>
    <row r="37" spans="1:7" ht="112.5">
      <c r="A37" s="354"/>
      <c r="B37" s="171">
        <v>3.01</v>
      </c>
      <c r="C37" s="172" t="s">
        <v>72</v>
      </c>
      <c r="D37" s="39" t="s">
        <v>2363</v>
      </c>
      <c r="E37" s="200" t="s">
        <v>1351</v>
      </c>
      <c r="F37" s="201" t="s">
        <v>1457</v>
      </c>
      <c r="G37" s="34"/>
    </row>
    <row r="38" spans="1:7" ht="101.25">
      <c r="A38" s="354"/>
      <c r="B38" s="171">
        <v>3.02</v>
      </c>
      <c r="C38" s="172" t="s">
        <v>1384</v>
      </c>
      <c r="D38" s="39" t="s">
        <v>2364</v>
      </c>
      <c r="E38" s="200" t="s">
        <v>1399</v>
      </c>
      <c r="F38" s="201" t="s">
        <v>1458</v>
      </c>
      <c r="G38" s="34"/>
    </row>
    <row r="39" spans="1:7" ht="101.25">
      <c r="A39" s="354"/>
      <c r="B39" s="182">
        <v>4</v>
      </c>
      <c r="C39" s="181" t="s">
        <v>1554</v>
      </c>
      <c r="D39" s="39" t="s">
        <v>2365</v>
      </c>
      <c r="E39" s="37" t="s">
        <v>2307</v>
      </c>
      <c r="F39" s="37" t="s">
        <v>1555</v>
      </c>
      <c r="G39" s="34"/>
    </row>
    <row r="40" spans="1:7" ht="56.25">
      <c r="A40" s="354"/>
      <c r="B40" s="171">
        <v>4.01</v>
      </c>
      <c r="C40" s="181" t="s">
        <v>1554</v>
      </c>
      <c r="D40" s="39" t="s">
        <v>2367</v>
      </c>
      <c r="E40" s="37" t="s">
        <v>2321</v>
      </c>
      <c r="F40" s="37" t="s">
        <v>2326</v>
      </c>
      <c r="G40" s="34"/>
    </row>
    <row r="41" spans="1:7" ht="56.25">
      <c r="A41" s="354"/>
      <c r="B41" s="171" t="s">
        <v>2354</v>
      </c>
      <c r="C41" s="181" t="s">
        <v>1554</v>
      </c>
      <c r="D41" s="39" t="s">
        <v>2366</v>
      </c>
      <c r="E41" s="37" t="s">
        <v>2357</v>
      </c>
      <c r="F41" s="37" t="s">
        <v>2355</v>
      </c>
      <c r="G41" s="34"/>
    </row>
    <row r="42" spans="1:7" ht="56.25">
      <c r="A42" s="354"/>
      <c r="B42" s="171" t="s">
        <v>2399</v>
      </c>
      <c r="C42" s="181" t="s">
        <v>1554</v>
      </c>
      <c r="D42" s="39" t="s">
        <v>2406</v>
      </c>
      <c r="E42" s="37" t="s">
        <v>2356</v>
      </c>
      <c r="F42" s="37" t="s">
        <v>2400</v>
      </c>
      <c r="G42" s="34"/>
    </row>
    <row r="43" spans="1:7" ht="123.75">
      <c r="A43" s="354"/>
      <c r="B43" s="193">
        <v>4.0999999999999996</v>
      </c>
      <c r="C43" s="181" t="s">
        <v>2405</v>
      </c>
      <c r="D43" s="194">
        <v>42867</v>
      </c>
      <c r="E43" s="202" t="s">
        <v>2408</v>
      </c>
      <c r="F43" s="37" t="s">
        <v>2407</v>
      </c>
      <c r="G43" s="34"/>
    </row>
    <row r="44" spans="1:7" ht="78.75">
      <c r="A44" s="354"/>
      <c r="B44" s="193">
        <v>4.2</v>
      </c>
      <c r="C44" s="181" t="s">
        <v>2405</v>
      </c>
      <c r="D44" s="194">
        <v>42704</v>
      </c>
      <c r="E44" s="202" t="s">
        <v>2625</v>
      </c>
      <c r="F44" s="37" t="s">
        <v>2598</v>
      </c>
      <c r="G44" s="34"/>
    </row>
    <row r="45" spans="1:7" ht="157.5">
      <c r="A45" s="354"/>
      <c r="B45" s="243">
        <v>5</v>
      </c>
      <c r="C45" s="181" t="s">
        <v>2405</v>
      </c>
      <c r="D45" s="194">
        <v>42867</v>
      </c>
      <c r="E45" s="202" t="s">
        <v>13032</v>
      </c>
      <c r="F45" s="37" t="s">
        <v>12754</v>
      </c>
      <c r="G45" s="34"/>
    </row>
    <row r="46" spans="1:7" ht="45">
      <c r="A46" s="354"/>
      <c r="B46" s="193">
        <v>5.01</v>
      </c>
      <c r="C46" s="181" t="s">
        <v>2405</v>
      </c>
      <c r="D46" s="194">
        <v>42907</v>
      </c>
      <c r="E46" s="202" t="s">
        <v>13052</v>
      </c>
      <c r="F46" s="37" t="s">
        <v>12754</v>
      </c>
      <c r="G46" s="34"/>
    </row>
    <row r="47" spans="1:7" ht="67.5">
      <c r="A47" s="354"/>
      <c r="B47" s="193">
        <v>5.0999999999999996</v>
      </c>
      <c r="C47" s="181" t="s">
        <v>2405</v>
      </c>
      <c r="D47" s="194">
        <v>43070</v>
      </c>
      <c r="E47" s="202" t="s">
        <v>13247</v>
      </c>
      <c r="F47" s="37" t="s">
        <v>13248</v>
      </c>
      <c r="G47" s="34"/>
    </row>
    <row r="48" spans="1:7" ht="56.25">
      <c r="A48" s="354"/>
      <c r="B48" s="193">
        <v>5.1100000000000003</v>
      </c>
      <c r="C48" s="181" t="s">
        <v>13489</v>
      </c>
      <c r="D48" s="194">
        <v>43217</v>
      </c>
      <c r="E48" s="202" t="s">
        <v>13617</v>
      </c>
      <c r="F48" s="37" t="s">
        <v>13523</v>
      </c>
      <c r="G48" s="34"/>
    </row>
    <row r="49" spans="1:7" ht="56.25">
      <c r="A49" s="354"/>
      <c r="B49" s="193">
        <v>5.12</v>
      </c>
      <c r="C49" s="181" t="s">
        <v>13489</v>
      </c>
      <c r="D49" s="194">
        <v>43581</v>
      </c>
      <c r="E49" s="202" t="s">
        <v>13617</v>
      </c>
      <c r="F49" s="37" t="s">
        <v>14191</v>
      </c>
      <c r="G49" s="34"/>
    </row>
    <row r="50" spans="1:7" ht="78.75">
      <c r="A50" s="354"/>
      <c r="B50" s="243">
        <v>6</v>
      </c>
      <c r="C50" s="181" t="s">
        <v>13489</v>
      </c>
      <c r="D50" s="194">
        <v>43964</v>
      </c>
      <c r="E50" s="202" t="s">
        <v>14433</v>
      </c>
      <c r="F50" s="37" t="s">
        <v>14204</v>
      </c>
      <c r="G50" s="34"/>
    </row>
    <row r="51" spans="1:7" ht="45">
      <c r="A51" s="354"/>
      <c r="B51" s="193">
        <v>6.01</v>
      </c>
      <c r="C51" s="181" t="s">
        <v>13489</v>
      </c>
      <c r="D51" s="194">
        <v>43970</v>
      </c>
      <c r="E51" s="202" t="s">
        <v>15503</v>
      </c>
      <c r="F51" s="202" t="s">
        <v>14204</v>
      </c>
      <c r="G51" s="34"/>
    </row>
    <row r="52" spans="1:7" ht="13.5" thickBot="1">
      <c r="A52" s="355"/>
      <c r="B52" s="356" t="str">
        <f ca="1">OFFSET(L!$C$1,MATCH("General"&amp;"Cpy",L!$A:$A,0)-1,SL,,)</f>
        <v>© 2020 Responsible Minerals Initiative. All rights reserved.</v>
      </c>
      <c r="C52" s="356"/>
      <c r="D52" s="356"/>
      <c r="E52" s="356"/>
      <c r="F52" s="356"/>
      <c r="G52" s="35"/>
    </row>
    <row r="53" spans="1:7" ht="13.5" thickTop="1">
      <c r="A53" s="119"/>
      <c r="B53" s="120"/>
      <c r="C53" s="120"/>
      <c r="D53" s="214"/>
      <c r="E53" s="120"/>
      <c r="F53" s="120"/>
      <c r="G53" s="120"/>
    </row>
  </sheetData>
  <sheetProtection algorithmName="SHA-512" hashValue="2IQD02Tix40liHHKwioXRn//ARj4MD5BpcthYZMX0vPow8R+ejyFFv+tePeHap5RugmQ37/KLZ/JpFFzY/Yx8Q==" saltValue="Dn0aCObnsSaMfHiblzfSQQ==" spinCount="100000" sheet="1" formatRows="0"/>
  <customSheetViews>
    <customSheetView guid="{81CF54B1-70AB-4A68-BB72-21925B5D4874}" state="hidden">
      <selection activeCell="E26" sqref="E26"/>
      <pageMargins left="0.7" right="0.7" top="0.75" bottom="0.75" header="0.3" footer="0.3"/>
      <pageSetup orientation="portrait" r:id="rId1"/>
    </customSheetView>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2"/>
    </customSheetView>
  </customSheetViews>
  <mergeCells count="18">
    <mergeCell ref="B22:B24"/>
    <mergeCell ref="C22:C24"/>
    <mergeCell ref="D22:D24"/>
    <mergeCell ref="E22:E24"/>
    <mergeCell ref="A2:A52"/>
    <mergeCell ref="B52:F52"/>
    <mergeCell ref="B9:F9"/>
    <mergeCell ref="B10:F11"/>
    <mergeCell ref="B15:B17"/>
    <mergeCell ref="C15:C17"/>
    <mergeCell ref="D15:D17"/>
    <mergeCell ref="B18:B21"/>
    <mergeCell ref="C18:C21"/>
    <mergeCell ref="D18:D21"/>
    <mergeCell ref="E26:E36"/>
    <mergeCell ref="D26:D36"/>
    <mergeCell ref="C26:C36"/>
    <mergeCell ref="B26:B36"/>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defaultColWidth="8.875" defaultRowHeight="12.75"/>
  <cols>
    <col min="1" max="1" width="20.625" style="76" customWidth="1"/>
    <col min="2" max="2" width="57.125" style="76" customWidth="1"/>
    <col min="3" max="16384" width="8.87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14432</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15477</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00000000-0000-0000-0000-000000000000}"/>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72" workbookViewId="0">
      <selection activeCell="B4794" sqref="B4794"/>
    </sheetView>
  </sheetViews>
  <sheetFormatPr defaultColWidth="8.875" defaultRowHeight="12.75"/>
  <cols>
    <col min="1" max="1" width="11.125" customWidth="1"/>
    <col min="2" max="2" width="25.87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defaultColWidth="8.875" defaultRowHeight="12.7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0">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89.95"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5">
      <c r="A5" s="125"/>
      <c r="B5" s="114"/>
    </row>
    <row r="6" spans="1:2" ht="30">
      <c r="A6" s="124" t="str">
        <f ca="1">OFFSET(L!$C$1,MATCH("Instructions"&amp;ADDRESS(ROW(),COLUMN(),4),L!$A:$A,0)-1,SL,,)</f>
        <v>Instructions for completing Company Information questions (rows 8 - 22).
Provide comments in ENGLISH only</v>
      </c>
      <c r="B6" s="114" t="s">
        <v>1327</v>
      </c>
    </row>
    <row r="7" spans="1:2" ht="15">
      <c r="A7" s="294"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09.95"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5">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1327</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1327</v>
      </c>
    </row>
    <row r="24" spans="1:2" ht="75">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0">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0">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25"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5">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75">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8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75"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5">
      <c r="A47" s="125"/>
      <c r="B47" s="114"/>
    </row>
    <row r="48" spans="1:2" ht="30">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0">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30">
      <c r="A52" s="121" t="str">
        <f ca="1">OFFSET(L!$C$1,MATCH("Instructions"&amp;ADDRESS(ROW(),COLUMN(),4),L!$A:$A,0)-1,SL,,)</f>
        <v>2. Metal (*)   -   Use the pull down menu to select the metal for which you are entering smelter information.  This field is mandatory.</v>
      </c>
      <c r="B52" s="114"/>
    </row>
    <row r="53" spans="1:2" ht="60">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0">
      <c r="A58" s="121" t="str">
        <f ca="1">OFFSET(L!$C$1,MATCH("Instructions"&amp;ADDRESS(ROW(),COLUMN(),4),L!$A:$A,0)-1,SL,,)</f>
        <v>8. Smelter Street -  Provide the street name on which the smelter is located. This field is optional.</v>
      </c>
      <c r="B58" s="114" t="s">
        <v>1326</v>
      </c>
    </row>
    <row r="59" spans="1:2" ht="30">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80">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75">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0">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0">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60">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75"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35">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75">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0">
      <c r="A74" s="121"/>
      <c r="B74" s="114" t="s">
        <v>451</v>
      </c>
    </row>
    <row r="75" spans="1:2" ht="15">
      <c r="A75" s="121" t="str">
        <f ca="1">OFFSET(L!$C$1,MATCH("General"&amp;"Cpy",L!$A:$A,0)-1,SL,,)</f>
        <v>© 2020 Responsible Minerals Initiative. All rights reserved.</v>
      </c>
      <c r="B75" s="115"/>
    </row>
    <row r="76" spans="1:2" ht="15">
      <c r="A76" s="122" t="s">
        <v>1058</v>
      </c>
      <c r="B76" s="115"/>
    </row>
    <row r="77" spans="1:2" ht="15.75" thickBot="1">
      <c r="A77" s="169" t="s">
        <v>15504</v>
      </c>
    </row>
  </sheetData>
  <sheetProtection algorithmName="SHA-512" hashValue="8ILMDcDKIOgzdAIYrOZaWVKm39XyjTWKs2w84tEpHcptsZgjP9uZdireWxs+vRozhvd/1PxB0vv8fkNYKcYtvQ==" saltValue="BaE01wria1yAkQ7tjRj5Ng==" spinCount="100000" sheet="1" formatRows="0" insertHyperlinks="0"/>
  <customSheetViews>
    <customSheetView guid="{81CF54B1-70AB-4A68-BB72-21925B5D4874}" hiddenColumns="1">
      <selection activeCell="C3" sqref="C3:G3"/>
      <pageMargins left="0.7" right="0.7" top="0.75" bottom="0.75" header="0.3" footer="0.3"/>
      <pageSetup orientation="portrait"/>
    </customSheetView>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 activePane="bottomLeft" state="frozen"/>
      <selection activeCell="A4" sqref="A4"/>
      <selection pane="bottomLeft" activeCell="B3" sqref="B3"/>
    </sheetView>
  </sheetViews>
  <sheetFormatPr defaultColWidth="8.875" defaultRowHeight="12.75"/>
  <cols>
    <col min="1" max="1" width="1.625" style="113" customWidth="1"/>
    <col min="2" max="2" width="35.625" style="113" customWidth="1"/>
    <col min="3" max="3" width="105.625" style="113" customWidth="1"/>
    <col min="4" max="5" width="1.625" style="113" customWidth="1"/>
    <col min="6" max="6" width="4.625" style="113" customWidth="1"/>
    <col min="7" max="7" width="4.875" style="113" customWidth="1"/>
    <col min="8" max="16384" width="8.875" style="113"/>
  </cols>
  <sheetData>
    <row r="1" spans="1:5" ht="13.5" thickTop="1">
      <c r="A1" s="372"/>
      <c r="B1" s="373"/>
      <c r="C1" s="373"/>
      <c r="D1" s="374"/>
    </row>
    <row r="2" spans="1:5" ht="71.25" customHeight="1">
      <c r="A2" s="87"/>
      <c r="B2" s="167" t="str">
        <f ca="1">OFFSET(L!$C$1,MATCH("Definitions"&amp;ADDRESS(ROW(),COLUMN(),4),L!$A:$A,0)-1,SL,,)</f>
        <v>ITEM</v>
      </c>
      <c r="C2" s="167" t="str">
        <f ca="1">OFFSET(L!$C$1,MATCH("Definitions"&amp;ADDRESS(ROW(),COLUMN(),4),L!$A:$A,0)-1,SL,,)</f>
        <v>DEFINITION</v>
      </c>
      <c r="D2" s="376"/>
      <c r="E2" s="127"/>
    </row>
    <row r="3" spans="1:5" ht="63.95" customHeight="1">
      <c r="A3" s="87"/>
      <c r="B3" s="74" t="str">
        <f ca="1">OFFSET(L!$C$1,MATCH("Definitions"&amp;ADDRESS(ROW(),COLUMN(),4),L!$A:$A,0)-1,SL,,)</f>
        <v>3TG</v>
      </c>
      <c r="C3" s="74" t="str">
        <f ca="1">OFFSET(L!$C$1,MATCH("Definitions"&amp;ADDRESS(ROW(),COLUMN(),4),L!$A:$A,0)-1,SL,,)</f>
        <v>Tantalum, tin, tungsten, gold</v>
      </c>
      <c r="D3" s="376"/>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6"/>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76"/>
      <c r="E5" s="128"/>
    </row>
    <row r="6" spans="1:5" ht="105">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76"/>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76"/>
      <c r="E7" s="128" t="s">
        <v>1336</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76"/>
      <c r="E8" s="128" t="s">
        <v>1339</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76"/>
      <c r="E9" s="128" t="s">
        <v>1336</v>
      </c>
    </row>
    <row r="10" spans="1:5" ht="45">
      <c r="A10" s="87"/>
      <c r="B10" s="74" t="str">
        <f ca="1">OFFSET(L!$C$1,MATCH("Definitions"&amp;ADDRESS(ROW(),COLUMN(),4),L!$A:$A,0)-1,SL,,)</f>
        <v>DRC</v>
      </c>
      <c r="C10" s="74" t="str">
        <f ca="1">OFFSET(L!$C$1,MATCH("Definitions"&amp;ADDRESS(ROW(),COLUMN(),4),L!$A:$A,0)-1,SL,,)</f>
        <v>Democratic Republic of Congo</v>
      </c>
      <c r="D10" s="376"/>
      <c r="E10" s="128" t="s">
        <v>1335</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76"/>
      <c r="E11" s="128" t="s">
        <v>1335</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76"/>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76"/>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76"/>
      <c r="E14" s="128" t="s">
        <v>1335</v>
      </c>
    </row>
    <row r="15" spans="1:5" ht="135">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76"/>
      <c r="E15" s="128" t="s">
        <v>1335</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76"/>
      <c r="E16" s="128" t="s">
        <v>1335</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76"/>
      <c r="E17" s="128" t="s">
        <v>1335</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76"/>
      <c r="E18" s="128" t="s">
        <v>1335</v>
      </c>
    </row>
    <row r="19" spans="1:5" ht="15">
      <c r="A19" s="87"/>
      <c r="B19" s="74" t="str">
        <f ca="1">OFFSET(L!$C$1,MATCH("Definitions"&amp;ADDRESS(ROW(),COLUMN(),4),L!$A:$A,0)-1,SL,,)</f>
        <v>OECD</v>
      </c>
      <c r="C19" s="74" t="str">
        <f ca="1">OFFSET(L!$C$1,MATCH("Definitions"&amp;ADDRESS(ROW(),COLUMN(),4),L!$A:$A,0)-1,SL,,)</f>
        <v>Organisation for Economic Co-operation and Development</v>
      </c>
      <c r="D19" s="376"/>
      <c r="E19" s="128"/>
    </row>
    <row r="20" spans="1:5" ht="45">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76"/>
      <c r="E20" s="128"/>
    </row>
    <row r="21" spans="1:5" ht="15">
      <c r="A21" s="87"/>
      <c r="B21" s="74" t="str">
        <f ca="1">OFFSET(L!$C$1,MATCH("Definitions"&amp;ADDRESS(ROW(),COLUMN(),4),L!$A:$A,0)-1,SL,,)</f>
        <v>RBA</v>
      </c>
      <c r="C21" s="74" t="str">
        <f ca="1">OFFSET(L!$C$1,MATCH("Definitions"&amp;ADDRESS(ROW(),COLUMN(),4),L!$A:$A,0)-1,SL,,)</f>
        <v>Responsible Business Alliance (www.responsiblebusiness.org)</v>
      </c>
      <c r="D21" s="376"/>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76"/>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76"/>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76"/>
      <c r="E24" s="128"/>
    </row>
    <row r="25" spans="1:5" ht="150">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76"/>
      <c r="E25" s="128" t="s">
        <v>1335</v>
      </c>
    </row>
    <row r="26" spans="1:5" ht="75">
      <c r="A26" s="87"/>
      <c r="B26" s="74" t="str">
        <f ca="1">OFFSET(L!$C$1,MATCH("Definitions"&amp;ADDRESS(ROW(),COLUMN(),4),L!$A:$A,0)-1,SL,,)</f>
        <v>SEC</v>
      </c>
      <c r="C26" s="74" t="str">
        <f ca="1">OFFSET(L!$C$1,MATCH("Definitions"&amp;ADDRESS(ROW(),COLUMN(),4),L!$A:$A,0)-1,SL,,)</f>
        <v>U.S. Securities and Exchange Commission (www.sec.gov)</v>
      </c>
      <c r="D26" s="376"/>
      <c r="E26" s="128" t="s">
        <v>1337</v>
      </c>
    </row>
    <row r="27" spans="1:5" ht="75">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76"/>
      <c r="E27" s="128" t="s">
        <v>1335</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76"/>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76"/>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76"/>
      <c r="E30" s="128" t="s">
        <v>1338</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76"/>
      <c r="E31" s="128"/>
    </row>
    <row r="32" spans="1:5" ht="15">
      <c r="A32" s="87"/>
      <c r="B32" s="375" t="str">
        <f ca="1">OFFSET(L!$C$1,MATCH("General"&amp;"Cpy",L!$A:$A,0)-1,SL,,)</f>
        <v>© 2020 Responsible Minerals Initiative. All rights reserved.</v>
      </c>
      <c r="C32" s="375"/>
      <c r="D32" s="376"/>
      <c r="E32" s="128"/>
    </row>
    <row r="33" spans="1:4" ht="13.5" thickBot="1">
      <c r="A33" s="88"/>
      <c r="B33" s="185"/>
      <c r="C33" s="185"/>
      <c r="D33" s="377"/>
    </row>
    <row r="34" spans="1:4" ht="13.5" thickTop="1"/>
  </sheetData>
  <sheetProtection algorithmName="SHA-512" hashValue="hpb/agFq+Zgl1j5iHsTdjHoQyFSA+OZOR21URiyD6TDaL60ezhptqPd7lp6xCnU/JtNdmwdQ4ajctsD3wHnhwg==" saltValue="DJ2XUoPpkHVCQw9mv1ZHgg==" spinCount="100000" sheet="1" objects="1" scenarios="1" formatRows="0"/>
  <customSheetViews>
    <customSheetView guid="{81CF54B1-70AB-4A68-BB72-21925B5D4874}" hiddenColumns="1">
      <selection activeCell="F3" sqref="F3:J3"/>
      <pageMargins left="0.7" right="0.7" top="0.75" bottom="0.75" header="0.3" footer="0.3"/>
      <pageSetup orientation="portrait"/>
    </customSheetView>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zoomScale="60" zoomScaleNormal="60" zoomScalePageLayoutView="70" workbookViewId="0">
      <selection activeCell="Z21" sqref="Z21"/>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3" hidden="1" customWidth="1"/>
    <col min="13" max="15" width="4.875" style="113" hidden="1" customWidth="1"/>
    <col min="16" max="23" width="9.125" hidden="1" customWidth="1"/>
    <col min="24" max="24" width="9.125" customWidth="1"/>
  </cols>
  <sheetData>
    <row r="1" spans="1:34" ht="15.75" thickTop="1">
      <c r="A1" s="406"/>
      <c r="B1" s="407"/>
      <c r="C1" s="407"/>
      <c r="D1" s="407"/>
      <c r="E1" s="407"/>
      <c r="F1" s="407"/>
      <c r="G1" s="407"/>
      <c r="H1" s="407"/>
      <c r="I1" s="407"/>
      <c r="J1" s="407"/>
      <c r="K1" s="408"/>
      <c r="L1" s="139"/>
      <c r="M1" s="130"/>
      <c r="N1" s="130"/>
      <c r="O1" s="131"/>
      <c r="P1" s="12"/>
      <c r="Q1" s="12"/>
      <c r="R1" s="12"/>
      <c r="S1" s="12"/>
      <c r="T1" s="12"/>
      <c r="U1" s="12"/>
      <c r="V1" s="12"/>
      <c r="W1" s="12"/>
      <c r="X1" s="12"/>
      <c r="Y1" s="12"/>
      <c r="Z1" s="12"/>
      <c r="AA1" s="12"/>
      <c r="AB1" s="12"/>
      <c r="AC1" s="12"/>
      <c r="AD1" s="12"/>
      <c r="AE1" s="12"/>
      <c r="AF1" s="12"/>
      <c r="AG1" s="12"/>
      <c r="AH1" s="12"/>
    </row>
    <row r="2" spans="1:34" ht="82.5" customHeight="1">
      <c r="A2" s="45"/>
      <c r="B2" s="166"/>
      <c r="C2" s="46"/>
      <c r="D2" s="409" t="str">
        <f ca="1">OFFSET(L!$C$1,MATCH("Declaration"&amp;ADDRESS(ROW(),COLUMN(),4),L!$A:$A,0)-1,SL,,)</f>
        <v>Conflict Minerals Reporting Template (CMRT)</v>
      </c>
      <c r="E2" s="410"/>
      <c r="F2" s="410"/>
      <c r="G2" s="410"/>
      <c r="H2" s="410"/>
      <c r="I2" s="410"/>
      <c r="J2" s="411"/>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19"/>
      <c r="G3" s="419"/>
      <c r="H3" s="419"/>
      <c r="I3" s="184"/>
      <c r="J3" s="168" t="s">
        <v>15505</v>
      </c>
      <c r="K3" s="47"/>
      <c r="L3" s="139"/>
      <c r="M3" s="130"/>
      <c r="N3" s="130"/>
      <c r="O3" s="131"/>
      <c r="P3" s="144">
        <f>MATCH($D$3,LN,0)</f>
        <v>1</v>
      </c>
    </row>
    <row r="4" spans="1:34" ht="15.75">
      <c r="A4" s="45"/>
      <c r="B4" s="415" t="str">
        <f ca="1">OFFSET(L!$C$1,MATCH("Declaration"&amp;ADDRESS(ROW(),COLUMN(),4),L!$A:$A,0)-1,SL,,)</f>
        <v>The purpose of this document is to collect sourcing information on tin, tantalum, tungsten and gold used in products</v>
      </c>
      <c r="C4" s="415"/>
      <c r="D4" s="415"/>
      <c r="E4" s="415"/>
      <c r="F4" s="415"/>
      <c r="G4" s="415"/>
      <c r="H4" s="415"/>
      <c r="I4" s="420" t="str">
        <f ca="1">OFFSET(L!$C$1,MATCH("Declaration"&amp;ADDRESS(ROW(),COLUMN(),4),L!$A:$A,0)-1,SL,,)</f>
        <v>Link to Terms &amp; Conditions</v>
      </c>
      <c r="J4" s="420"/>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15" t="str">
        <f ca="1">OFFSET(L!$C$1,MATCH("Declaration"&amp;ADDRESS(ROW(),COLUMN(),4),L!$A:$A,0)-1,SL,,)</f>
        <v>Mandatory fields are noted with an asterisk (*).  Consult the instructions tab for guidance on how to answer each question.</v>
      </c>
      <c r="C6" s="415"/>
      <c r="D6" s="415"/>
      <c r="E6" s="415"/>
      <c r="F6" s="415"/>
      <c r="G6" s="415"/>
      <c r="H6" s="415"/>
      <c r="I6" s="415"/>
      <c r="J6" s="415"/>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5.75">
      <c r="A7" s="45"/>
      <c r="B7" s="424" t="str">
        <f ca="1">OFFSET(L!$C$1,MATCH("Declaration"&amp;ADDRESS(ROW(),COLUMN(),4),L!$A:$A,0)-1,SL,,)</f>
        <v>Company Information</v>
      </c>
      <c r="C7" s="424"/>
      <c r="D7" s="424"/>
      <c r="E7" s="424"/>
      <c r="F7" s="424"/>
      <c r="G7" s="424"/>
      <c r="H7" s="424"/>
      <c r="I7" s="424"/>
      <c r="J7" s="424"/>
      <c r="K7" s="47"/>
      <c r="L7" s="141"/>
      <c r="M7" s="130"/>
      <c r="N7" s="130"/>
      <c r="O7" s="131"/>
      <c r="P7" s="12"/>
      <c r="Q7" s="12"/>
      <c r="R7" s="12"/>
      <c r="S7" s="12"/>
      <c r="T7" s="12"/>
      <c r="U7" s="12"/>
      <c r="V7" s="12"/>
      <c r="W7" s="12"/>
      <c r="X7" s="12"/>
      <c r="Y7" s="12"/>
      <c r="Z7" s="12"/>
      <c r="AA7" s="12"/>
      <c r="AB7" s="12"/>
      <c r="AC7" s="12"/>
      <c r="AD7" s="12"/>
      <c r="AE7" s="12"/>
      <c r="AF7" s="12"/>
      <c r="AG7" s="12"/>
      <c r="AH7" s="12"/>
    </row>
    <row r="8" spans="1:34" ht="15.75">
      <c r="A8" s="49"/>
      <c r="B8" s="86" t="str">
        <f ca="1">OFFSET(L!$C$1,MATCH("Declaration"&amp;ADDRESS(ROW(),COLUMN(),4),L!$A:$A,0)-1,SL,,)</f>
        <v>Company Name (*):</v>
      </c>
      <c r="C8" s="89"/>
      <c r="D8" s="412" t="s">
        <v>15506</v>
      </c>
      <c r="E8" s="413"/>
      <c r="F8" s="413"/>
      <c r="G8" s="413"/>
      <c r="H8" s="413"/>
      <c r="I8" s="413"/>
      <c r="J8" s="414"/>
      <c r="K8" s="50"/>
      <c r="L8" s="141"/>
      <c r="M8" s="130"/>
      <c r="N8" s="130"/>
      <c r="O8" s="131"/>
      <c r="P8" s="12"/>
      <c r="Q8" s="12"/>
      <c r="R8" s="12"/>
      <c r="S8" s="12"/>
      <c r="T8" s="12"/>
      <c r="U8" s="12"/>
      <c r="V8" s="12"/>
      <c r="W8" s="12"/>
      <c r="X8" s="12"/>
      <c r="Y8" s="12"/>
      <c r="Z8" s="12"/>
      <c r="AA8" s="12"/>
      <c r="AB8" s="12"/>
      <c r="AC8" s="12"/>
      <c r="AD8" s="12"/>
      <c r="AE8" s="12"/>
      <c r="AF8" s="12"/>
      <c r="AG8" s="12"/>
      <c r="AH8" s="12"/>
    </row>
    <row r="9" spans="1:34" ht="15.75">
      <c r="A9" s="49"/>
      <c r="B9" s="86" t="str">
        <f ca="1">OFFSET(L!$C$1,MATCH("Declaration"&amp;ADDRESS(ROW(),COLUMN(),4),L!$A:$A,0)-1,SL,,)</f>
        <v>Declaration Scope or Class (*):</v>
      </c>
      <c r="C9" s="89"/>
      <c r="D9" s="421" t="s">
        <v>504</v>
      </c>
      <c r="E9" s="422"/>
      <c r="F9" s="422"/>
      <c r="G9" s="423"/>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450000000000003" customHeight="1">
      <c r="A10" s="49"/>
      <c r="B10" s="425" t="str">
        <f ca="1">OFFSET(L!$C$1,MATCH("Declaration"&amp;ADDRESS(ROW(),COLUMN(),4)&amp;LEFT($D$9,1),L!$A:$A,0)-1,SL,,)</f>
        <v>Description of Scope:</v>
      </c>
      <c r="C10" s="151"/>
      <c r="D10" s="416"/>
      <c r="E10" s="417"/>
      <c r="F10" s="417"/>
      <c r="G10" s="417"/>
      <c r="H10" s="417"/>
      <c r="I10" s="417"/>
      <c r="J10" s="418"/>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75">
      <c r="A11" s="49"/>
      <c r="B11" s="426"/>
      <c r="C11" s="151"/>
      <c r="D11" s="393" t="str">
        <f ca="1">IF(D9=Q9,OFFSET(L!$C$1,MATCH("Declaration"&amp;ADDRESS(ROW(),COLUMN(),4),L!$A:$A,0)-1,SL,,),"")</f>
        <v/>
      </c>
      <c r="E11" s="394"/>
      <c r="F11" s="394"/>
      <c r="G11" s="394"/>
      <c r="H11" s="394"/>
      <c r="I11" s="394"/>
      <c r="J11" s="395"/>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75">
      <c r="A12" s="49"/>
      <c r="B12" s="51" t="str">
        <f ca="1">OFFSET(L!$C$1,MATCH("Declaration"&amp;ADDRESS(ROW(),COLUMN(),4),L!$A:$A,0)-1,SL,,)</f>
        <v>Company Unique ID:</v>
      </c>
      <c r="C12" s="90"/>
      <c r="D12" s="442" t="s">
        <v>15522</v>
      </c>
      <c r="E12" s="443"/>
      <c r="F12" s="443"/>
      <c r="G12" s="443"/>
      <c r="H12" s="443"/>
      <c r="I12" s="443"/>
      <c r="J12" s="444"/>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75">
      <c r="A13" s="49"/>
      <c r="B13" s="51" t="str">
        <f ca="1">OFFSET(L!$C$1,MATCH("Declaration"&amp;ADDRESS(ROW(),COLUMN(),4),L!$A:$A,0)-1,SL,,)</f>
        <v>Company Unique ID Authority:</v>
      </c>
      <c r="C13" s="90"/>
      <c r="D13" s="402"/>
      <c r="E13" s="403"/>
      <c r="F13" s="403"/>
      <c r="G13" s="403"/>
      <c r="H13" s="403"/>
      <c r="I13" s="403"/>
      <c r="J13" s="404"/>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75">
      <c r="A14" s="49"/>
      <c r="B14" s="51" t="str">
        <f ca="1">OFFSET(L!$C$1,MATCH("Declaration"&amp;ADDRESS(ROW(),COLUMN(),4),L!$A:$A,0)-1,SL,,)</f>
        <v>Address:</v>
      </c>
      <c r="C14" s="90"/>
      <c r="D14" s="445" t="s">
        <v>15523</v>
      </c>
      <c r="E14" s="446"/>
      <c r="F14" s="446"/>
      <c r="G14" s="446"/>
      <c r="H14" s="446"/>
      <c r="I14" s="446"/>
      <c r="J14" s="447"/>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75">
      <c r="A15" s="49"/>
      <c r="B15" s="51" t="str">
        <f ca="1">OFFSET(L!$C$1,MATCH("Declaration"&amp;ADDRESS(ROW(),COLUMN(),4),L!$A:$A,0)-1,SL,,)</f>
        <v>Contact Name (*):</v>
      </c>
      <c r="C15" s="90"/>
      <c r="D15" s="445" t="s">
        <v>15506</v>
      </c>
      <c r="E15" s="446"/>
      <c r="F15" s="446"/>
      <c r="G15" s="446"/>
      <c r="H15" s="446"/>
      <c r="I15" s="446"/>
      <c r="J15" s="447"/>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75">
      <c r="A16" s="49"/>
      <c r="B16" s="51" t="str">
        <f ca="1">OFFSET(L!$C$1,MATCH("Declaration"&amp;ADDRESS(ROW(),COLUMN(),4),L!$A:$A,0)-1,SL,,)</f>
        <v>Email – Contact (*):</v>
      </c>
      <c r="C16" s="90"/>
      <c r="D16" s="442" t="s">
        <v>15524</v>
      </c>
      <c r="E16" s="443"/>
      <c r="F16" s="443"/>
      <c r="G16" s="443"/>
      <c r="H16" s="443"/>
      <c r="I16" s="443"/>
      <c r="J16" s="444"/>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75">
      <c r="A17" s="49"/>
      <c r="B17" s="51" t="str">
        <f ca="1">OFFSET(L!$C$1,MATCH("Declaration"&amp;ADDRESS(ROW(),COLUMN(),4),L!$A:$A,0)-1,SL,,)</f>
        <v>Phone – Contact (*):</v>
      </c>
      <c r="C17" s="90"/>
      <c r="D17" s="445" t="s">
        <v>15525</v>
      </c>
      <c r="E17" s="446"/>
      <c r="F17" s="446"/>
      <c r="G17" s="446"/>
      <c r="H17" s="446"/>
      <c r="I17" s="446"/>
      <c r="J17" s="447"/>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5">
      <c r="A18" s="49"/>
      <c r="B18" s="51" t="str">
        <f ca="1">OFFSET(L!$C$1,MATCH("Declaration"&amp;ADDRESS(ROW(),COLUMN(),4),L!$A:$A,0)-1,SL,,)</f>
        <v>Authorizer (*):</v>
      </c>
      <c r="C18" s="90"/>
      <c r="D18" s="402" t="s">
        <v>15526</v>
      </c>
      <c r="E18" s="403"/>
      <c r="F18" s="403"/>
      <c r="G18" s="403"/>
      <c r="H18" s="403"/>
      <c r="I18" s="403"/>
      <c r="J18" s="404"/>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5">
      <c r="A19" s="49"/>
      <c r="B19" s="51" t="str">
        <f ca="1">OFFSET(L!$C$1,MATCH("Declaration"&amp;ADDRESS(ROW(),COLUMN(),4),L!$A:$A,0)-1,SL,,)</f>
        <v>Title - Authorizer:</v>
      </c>
      <c r="C19" s="90"/>
      <c r="D19" s="402" t="s">
        <v>15527</v>
      </c>
      <c r="E19" s="403"/>
      <c r="F19" s="403"/>
      <c r="G19" s="403"/>
      <c r="H19" s="403"/>
      <c r="I19" s="403"/>
      <c r="J19" s="404"/>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5">
      <c r="A20" s="49"/>
      <c r="B20" s="51" t="str">
        <f ca="1">OFFSET(L!$C$1,MATCH("Declaration"&amp;ADDRESS(ROW(),COLUMN(),4),L!$A:$A,0)-1,SL,,)</f>
        <v>Email - Authorizer (*):</v>
      </c>
      <c r="C20" s="90"/>
      <c r="D20" s="448" t="s">
        <v>15524</v>
      </c>
      <c r="E20" s="449"/>
      <c r="F20" s="449"/>
      <c r="G20" s="449"/>
      <c r="H20" s="449"/>
      <c r="I20" s="449"/>
      <c r="J20" s="450"/>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75">
      <c r="A21" s="49"/>
      <c r="B21" s="51" t="str">
        <f ca="1">OFFSET(L!$C$1,MATCH("Declaration"&amp;ADDRESS(ROW(),COLUMN(),4),L!$A:$A,0)-1,SL,,)</f>
        <v>Phone - Authorizer:</v>
      </c>
      <c r="C21" s="163"/>
      <c r="D21" s="451" t="s">
        <v>15525</v>
      </c>
      <c r="E21" s="452"/>
      <c r="F21" s="452"/>
      <c r="G21" s="452"/>
      <c r="H21" s="452"/>
      <c r="I21" s="452"/>
      <c r="J21" s="453"/>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1"/>
      <c r="D22" s="427">
        <v>44134</v>
      </c>
      <c r="E22" s="428"/>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8">
      <c r="A23" s="52"/>
      <c r="B23" s="92"/>
      <c r="C23" s="20"/>
      <c r="D23" s="405"/>
      <c r="E23" s="405"/>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75">
      <c r="A24" s="53"/>
      <c r="B24" s="429" t="str">
        <f ca="1">OFFSET(L!$C$1,MATCH("Declaration"&amp;ADDRESS(ROW(),COLUMN(),4),L!$A:$A,0)-1,SL,,)</f>
        <v>Answer the following questions 1 - 8 based on the declaration scope indicated above</v>
      </c>
      <c r="C24" s="429"/>
      <c r="D24" s="429"/>
      <c r="E24" s="429"/>
      <c r="F24" s="429"/>
      <c r="G24" s="429"/>
      <c r="H24" s="429"/>
      <c r="I24" s="429"/>
      <c r="J24" s="429"/>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5.75">
      <c r="A25" s="52"/>
      <c r="B25" s="55" t="str">
        <f ca="1">OFFSET(L!$C$1,MATCH("Declaration"&amp;ADDRESS(ROW(),COLUMN(),4),L!$A:$A,0)-1,SL,,)</f>
        <v>1) Is any 3TG intentionally added or used in the product(s) or in the production process? (*)</v>
      </c>
      <c r="C25" s="20"/>
      <c r="D25" s="392" t="str">
        <f ca="1">OFFSET(L!$C$1,MATCH("Declaration"&amp;ADDRESS(ROW(),COLUMN(),4),L!$A:$A,0)-1,SL,,)</f>
        <v>Answer</v>
      </c>
      <c r="E25" s="392"/>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5">
      <c r="A26" s="52"/>
      <c r="B26" s="51" t="str">
        <f ca="1">OFFSET(L!$C$1,MATCH("Declaration"&amp;ADDRESS(ROW(),COLUMN(),4),L!$A:$A,0)-1,SL,,)&amp;P26</f>
        <v>Tantalum  (*)</v>
      </c>
      <c r="C26" s="46"/>
      <c r="D26" s="378" t="s">
        <v>498</v>
      </c>
      <c r="E26" s="379"/>
      <c r="F26" s="15"/>
      <c r="G26" s="380"/>
      <c r="H26" s="381"/>
      <c r="I26" s="381"/>
      <c r="J26" s="382"/>
      <c r="K26" s="47"/>
      <c r="L26" s="142"/>
      <c r="M26" s="132"/>
      <c r="N26" s="130"/>
      <c r="O26" s="131"/>
      <c r="P26" s="144" t="str">
        <f>IF(D$26="No","","(*)")</f>
        <v>(*)</v>
      </c>
      <c r="R26" s="12"/>
      <c r="S26" s="12"/>
      <c r="T26" s="12"/>
      <c r="U26" s="12"/>
      <c r="V26" s="12"/>
      <c r="W26" s="12"/>
      <c r="X26" s="12"/>
      <c r="Y26" s="12"/>
      <c r="Z26" s="12"/>
      <c r="AA26" s="12"/>
      <c r="AB26" s="12"/>
      <c r="AC26" s="12"/>
      <c r="AD26" s="12"/>
      <c r="AE26" s="12"/>
      <c r="AF26" s="12"/>
      <c r="AG26" s="12"/>
      <c r="AH26" s="12"/>
    </row>
    <row r="27" spans="1:34" ht="22.5">
      <c r="A27" s="52"/>
      <c r="B27" s="51" t="str">
        <f ca="1">OFFSET(L!$C$1,MATCH("Declaration"&amp;ADDRESS(ROW(),COLUMN(),4),L!$A:$A,0)-1,SL,,)&amp;P27</f>
        <v>Tin  (*)</v>
      </c>
      <c r="C27" s="46"/>
      <c r="D27" s="378" t="s">
        <v>498</v>
      </c>
      <c r="E27" s="379"/>
      <c r="F27" s="15"/>
      <c r="G27" s="380"/>
      <c r="H27" s="381"/>
      <c r="I27" s="381"/>
      <c r="J27" s="382"/>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5">
      <c r="A28" s="52"/>
      <c r="B28" s="51" t="str">
        <f ca="1">OFFSET(L!$C$1,MATCH("Declaration"&amp;ADDRESS(ROW(),COLUMN(),4),L!$A:$A,0)-1,SL,,)&amp;P28</f>
        <v>Gold  (*)</v>
      </c>
      <c r="C28" s="46"/>
      <c r="D28" s="378" t="s">
        <v>498</v>
      </c>
      <c r="E28" s="379"/>
      <c r="F28" s="15"/>
      <c r="G28" s="380"/>
      <c r="H28" s="381"/>
      <c r="I28" s="381"/>
      <c r="J28" s="382"/>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5">
      <c r="A29" s="52"/>
      <c r="B29" s="51" t="str">
        <f ca="1">OFFSET(L!$C$1,MATCH("Declaration"&amp;ADDRESS(ROW(),COLUMN(),4),L!$A:$A,0)-1,SL,,)&amp;P29</f>
        <v>Tungsten  (*)</v>
      </c>
      <c r="C29" s="46"/>
      <c r="D29" s="378" t="s">
        <v>498</v>
      </c>
      <c r="E29" s="379"/>
      <c r="F29" s="15"/>
      <c r="G29" s="380"/>
      <c r="H29" s="381"/>
      <c r="I29" s="381"/>
      <c r="J29" s="382"/>
      <c r="K29" s="47"/>
      <c r="L29" s="142"/>
      <c r="M29" s="130"/>
      <c r="N29" s="130"/>
      <c r="O29" s="130"/>
      <c r="P29" s="144" t="str">
        <f>IF(D$29="No","","(*)")</f>
        <v>(*)</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45" customHeight="1">
      <c r="A31" s="52"/>
      <c r="B31" s="55" t="str">
        <f ca="1">OFFSET(L!$C$1,MATCH("Declaration"&amp;ADDRESS(ROW(),COLUMN(),4),L!$A:$A,0)-1,SL,,)&amp;Q$37</f>
        <v>2) Does any 3TG remain in the product(s)? (*)</v>
      </c>
      <c r="C31" s="13"/>
      <c r="D31" s="398" t="str">
        <f ca="1">D25</f>
        <v>Answer</v>
      </c>
      <c r="E31" s="398"/>
      <c r="F31" s="21"/>
      <c r="G31" s="55" t="str">
        <f ca="1">G25</f>
        <v>Comments</v>
      </c>
      <c r="H31" s="55"/>
      <c r="I31" s="55"/>
      <c r="J31" s="96"/>
      <c r="K31" s="47"/>
      <c r="L31" s="136" t="s">
        <v>1266</v>
      </c>
      <c r="M31" s="130"/>
      <c r="N31" s="130"/>
      <c r="O31" s="131"/>
      <c r="P31" s="56">
        <f>COUNTIF(D$26:D$29,"No")</f>
        <v>0</v>
      </c>
      <c r="Q31" s="56" t="str">
        <f>IF(P31=4,""," (*)")</f>
        <v xml:space="preserve"> (*)</v>
      </c>
      <c r="R31" s="12"/>
      <c r="S31" s="12"/>
      <c r="T31" s="12"/>
      <c r="U31" s="12"/>
      <c r="V31" s="12"/>
      <c r="W31" s="12"/>
      <c r="X31" s="12"/>
      <c r="Y31" s="12"/>
      <c r="Z31" s="12"/>
      <c r="AA31" s="12"/>
      <c r="AB31" s="12"/>
      <c r="AC31" s="12"/>
      <c r="AD31" s="12"/>
      <c r="AE31" s="12"/>
      <c r="AF31" s="12"/>
      <c r="AG31" s="12"/>
      <c r="AH31" s="12"/>
    </row>
    <row r="32" spans="1:34" ht="22.5">
      <c r="A32" s="52"/>
      <c r="B32" s="51" t="str">
        <f ca="1">B26</f>
        <v>Tantalum  (*)</v>
      </c>
      <c r="C32" s="13"/>
      <c r="D32" s="396" t="s">
        <v>498</v>
      </c>
      <c r="E32" s="397"/>
      <c r="F32" s="58"/>
      <c r="G32" s="380"/>
      <c r="H32" s="381"/>
      <c r="I32" s="381"/>
      <c r="J32" s="382"/>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5">
      <c r="A33" s="52"/>
      <c r="B33" s="51" t="str">
        <f ca="1">B27</f>
        <v>Tin  (*)</v>
      </c>
      <c r="C33" s="13"/>
      <c r="D33" s="396" t="s">
        <v>498</v>
      </c>
      <c r="E33" s="397"/>
      <c r="F33" s="58"/>
      <c r="G33" s="380"/>
      <c r="H33" s="381"/>
      <c r="I33" s="381"/>
      <c r="J33" s="382"/>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5">
      <c r="A34" s="52"/>
      <c r="B34" s="51" t="str">
        <f ca="1">B28</f>
        <v>Gold  (*)</v>
      </c>
      <c r="C34" s="13"/>
      <c r="D34" s="396" t="s">
        <v>498</v>
      </c>
      <c r="E34" s="397"/>
      <c r="F34" s="58"/>
      <c r="G34" s="380"/>
      <c r="H34" s="381"/>
      <c r="I34" s="381"/>
      <c r="J34" s="382"/>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5">
      <c r="A35" s="52"/>
      <c r="B35" s="51" t="str">
        <f ca="1">B29</f>
        <v>Tungsten  (*)</v>
      </c>
      <c r="C35" s="13"/>
      <c r="D35" s="396" t="s">
        <v>498</v>
      </c>
      <c r="E35" s="397"/>
      <c r="F35" s="58"/>
      <c r="G35" s="380"/>
      <c r="H35" s="381"/>
      <c r="I35" s="381"/>
      <c r="J35" s="382"/>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398" t="str">
        <f ca="1">D25</f>
        <v>Answer</v>
      </c>
      <c r="E37" s="398"/>
      <c r="F37" s="21"/>
      <c r="G37" s="55" t="str">
        <f ca="1">G25</f>
        <v>Comments</v>
      </c>
      <c r="H37" s="401"/>
      <c r="I37" s="401"/>
      <c r="J37" s="401"/>
      <c r="K37" s="47"/>
      <c r="L37" s="136" t="s">
        <v>1266</v>
      </c>
      <c r="M37" s="130"/>
      <c r="N37" s="130"/>
      <c r="O37" s="131"/>
      <c r="P37" s="56">
        <f>COUNTIF(D$26:D$29,"No")+COUNTIF(D$32:D$35,"No")</f>
        <v>0</v>
      </c>
      <c r="Q37" s="56" t="str">
        <f>IF(P37&gt;3,""," (*)")</f>
        <v xml:space="preserve"> (*)</v>
      </c>
      <c r="R37" s="12"/>
      <c r="S37" s="12"/>
      <c r="T37" s="12"/>
      <c r="U37" s="12"/>
      <c r="V37" s="12"/>
      <c r="W37" s="12"/>
      <c r="X37" s="12"/>
      <c r="Y37" s="12"/>
      <c r="Z37" s="12"/>
      <c r="AA37" s="12"/>
      <c r="AB37" s="12"/>
      <c r="AC37" s="12"/>
      <c r="AD37" s="12"/>
      <c r="AE37" s="12"/>
      <c r="AF37" s="12"/>
      <c r="AG37" s="12"/>
      <c r="AH37" s="12"/>
    </row>
    <row r="38" spans="1:34" ht="22.5">
      <c r="A38" s="52"/>
      <c r="B38" s="51" t="str">
        <f ca="1">OFFSET(L!$C$1,MATCH("Declaration"&amp;ADDRESS(ROW(),COLUMN(),4),L!$A:$A,0)-1,SL,,)&amp;P38</f>
        <v>Tantalum  (*)</v>
      </c>
      <c r="C38" s="13"/>
      <c r="D38" s="378" t="s">
        <v>500</v>
      </c>
      <c r="E38" s="379"/>
      <c r="F38" s="58"/>
      <c r="G38" s="380"/>
      <c r="H38" s="381"/>
      <c r="I38" s="381"/>
      <c r="J38" s="382"/>
      <c r="K38" s="47"/>
      <c r="L38" s="142"/>
      <c r="M38" s="132"/>
      <c r="N38" s="130"/>
      <c r="O38" s="131"/>
      <c r="P38" s="144" t="str">
        <f>IF((OR(D$26="No",D$32="No")),"","(*)")</f>
        <v>(*)</v>
      </c>
      <c r="Q38" s="12"/>
      <c r="R38" s="12"/>
      <c r="S38" s="12"/>
      <c r="T38" s="12"/>
      <c r="U38" s="12"/>
      <c r="V38" s="12"/>
      <c r="W38" s="12"/>
      <c r="X38" s="12"/>
      <c r="Y38" s="12"/>
      <c r="Z38" s="12"/>
      <c r="AA38" s="12"/>
      <c r="AB38" s="12"/>
      <c r="AC38" s="12"/>
      <c r="AD38" s="12"/>
      <c r="AE38" s="12"/>
      <c r="AF38" s="12"/>
      <c r="AG38" s="12"/>
    </row>
    <row r="39" spans="1:34" ht="22.5">
      <c r="A39" s="52"/>
      <c r="B39" s="51" t="str">
        <f ca="1">OFFSET(L!$C$1,MATCH("Declaration"&amp;ADDRESS(ROW(),COLUMN(),4),L!$A:$A,0)-1,SL,,)&amp;P39</f>
        <v>Tin  (*)</v>
      </c>
      <c r="C39" s="13"/>
      <c r="D39" s="378" t="s">
        <v>500</v>
      </c>
      <c r="E39" s="379"/>
      <c r="F39" s="58"/>
      <c r="G39" s="380"/>
      <c r="H39" s="381"/>
      <c r="I39" s="381"/>
      <c r="J39" s="382"/>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5">
      <c r="A40" s="52"/>
      <c r="B40" s="51" t="str">
        <f ca="1">OFFSET(L!$C$1,MATCH("Declaration"&amp;ADDRESS(ROW(),COLUMN(),4),L!$A:$A,0)-1,SL,,)&amp;P40</f>
        <v>Gold  (*)</v>
      </c>
      <c r="C40" s="13"/>
      <c r="D40" s="378" t="s">
        <v>500</v>
      </c>
      <c r="E40" s="379"/>
      <c r="F40" s="58"/>
      <c r="G40" s="380"/>
      <c r="H40" s="381"/>
      <c r="I40" s="381"/>
      <c r="J40" s="382"/>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5">
      <c r="A41" s="52"/>
      <c r="B41" s="51" t="str">
        <f ca="1">OFFSET(L!$C$1,MATCH("Declaration"&amp;ADDRESS(ROW(),COLUMN(),4),L!$A:$A,0)-1,SL,,)&amp;P41</f>
        <v>Tungsten  (*)</v>
      </c>
      <c r="C41" s="13"/>
      <c r="D41" s="378" t="s">
        <v>500</v>
      </c>
      <c r="E41" s="379"/>
      <c r="F41" s="58"/>
      <c r="G41" s="380"/>
      <c r="H41" s="381"/>
      <c r="I41" s="381"/>
      <c r="J41" s="382"/>
      <c r="K41" s="47"/>
      <c r="L41" s="142"/>
      <c r="M41" s="130"/>
      <c r="N41" s="130"/>
      <c r="O41" s="131"/>
      <c r="P41" s="144" t="str">
        <f>IF((OR(D$29="No",D$35="No")),"","(*)")</f>
        <v>(*)</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45" customHeight="1">
      <c r="A43" s="52"/>
      <c r="B43" s="55" t="str">
        <f ca="1">OFFSET(L!$C$1,MATCH("Declaration"&amp;ADDRESS(ROW(),COLUMN(),4),L!$A:$A,0)-1,SL,,)&amp;Q$37</f>
        <v>4) Do any of the smelters in your supply chain source the 3TG from conflict-affected and high-risk areas? (*)</v>
      </c>
      <c r="C43" s="13"/>
      <c r="D43" s="398" t="str">
        <f ca="1">D25</f>
        <v>Answer</v>
      </c>
      <c r="E43" s="398"/>
      <c r="F43" s="21"/>
      <c r="G43" s="55" t="str">
        <f ca="1">G25</f>
        <v>Comments</v>
      </c>
      <c r="H43" s="55"/>
      <c r="I43" s="55"/>
      <c r="J43" s="96"/>
      <c r="K43" s="47"/>
      <c r="L43" s="136"/>
      <c r="M43" s="130"/>
      <c r="N43" s="130"/>
      <c r="O43" s="131"/>
      <c r="P43" s="56">
        <f>COUNTIF(D$26:D$29,"No")+COUNTIF(D$32:D$35,"No")</f>
        <v>0</v>
      </c>
      <c r="Q43" s="56" t="str">
        <f>IF(P43&gt;3,""," (*)")</f>
        <v xml:space="preserve"> (*)</v>
      </c>
      <c r="R43" s="12"/>
      <c r="S43" s="12"/>
      <c r="T43" s="12"/>
      <c r="U43" s="12"/>
      <c r="V43" s="12"/>
      <c r="W43" s="12"/>
      <c r="X43" s="12"/>
      <c r="Y43" s="12"/>
      <c r="Z43" s="12"/>
      <c r="AA43" s="12"/>
      <c r="AB43" s="12"/>
      <c r="AC43" s="12"/>
      <c r="AD43" s="12"/>
      <c r="AE43" s="12"/>
      <c r="AF43" s="12"/>
      <c r="AG43" s="12"/>
      <c r="AH43" s="12"/>
    </row>
    <row r="44" spans="1:34" ht="23.25" customHeight="1">
      <c r="A44" s="52"/>
      <c r="B44" s="51" t="str">
        <f ca="1">OFFSET(L!$C$1,MATCH("Declaration"&amp;ADDRESS(ROW(),COLUMN(),4),L!$A:$A,0)-1,SL,,)&amp;P44</f>
        <v>Tantalum  (*)</v>
      </c>
      <c r="C44" s="13"/>
      <c r="D44" s="378" t="s">
        <v>500</v>
      </c>
      <c r="E44" s="379"/>
      <c r="F44" s="58"/>
      <c r="G44" s="380"/>
      <c r="H44" s="381"/>
      <c r="I44" s="381"/>
      <c r="J44" s="382"/>
      <c r="K44" s="47"/>
      <c r="L44" s="136"/>
      <c r="M44" s="130"/>
      <c r="N44" s="130"/>
      <c r="O44" s="131"/>
      <c r="P44" s="144" t="str">
        <f>IF((OR(D$26="No",D$32="No")),"","(*)")</f>
        <v>(*)</v>
      </c>
      <c r="Q44" s="12"/>
      <c r="R44" s="12"/>
      <c r="S44" s="12"/>
      <c r="T44" s="12"/>
      <c r="U44" s="12"/>
      <c r="V44" s="12"/>
      <c r="W44" s="12"/>
      <c r="X44" s="12"/>
      <c r="Y44" s="12"/>
      <c r="Z44" s="12"/>
      <c r="AA44" s="12"/>
      <c r="AB44" s="12"/>
      <c r="AC44" s="12"/>
      <c r="AD44" s="12"/>
      <c r="AE44" s="12"/>
      <c r="AF44" s="12"/>
      <c r="AG44" s="12"/>
      <c r="AH44" s="12"/>
    </row>
    <row r="45" spans="1:34" ht="23.25" customHeight="1">
      <c r="A45" s="52"/>
      <c r="B45" s="51" t="str">
        <f ca="1">OFFSET(L!$C$1,MATCH("Declaration"&amp;ADDRESS(ROW(),COLUMN(),4),L!$A:$A,0)-1,SL,,)&amp;P45</f>
        <v>Tin  (*)</v>
      </c>
      <c r="C45" s="13"/>
      <c r="D45" s="378" t="s">
        <v>500</v>
      </c>
      <c r="E45" s="379"/>
      <c r="F45" s="58"/>
      <c r="G45" s="380"/>
      <c r="H45" s="381"/>
      <c r="I45" s="381"/>
      <c r="J45" s="382"/>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25" customHeight="1">
      <c r="A46" s="52"/>
      <c r="B46" s="51" t="str">
        <f ca="1">OFFSET(L!$C$1,MATCH("Declaration"&amp;ADDRESS(ROW(),COLUMN(),4),L!$A:$A,0)-1,SL,,)&amp;P46</f>
        <v>Gold  (*)</v>
      </c>
      <c r="C46" s="13"/>
      <c r="D46" s="378" t="s">
        <v>500</v>
      </c>
      <c r="E46" s="379"/>
      <c r="F46" s="58"/>
      <c r="G46" s="380"/>
      <c r="H46" s="381"/>
      <c r="I46" s="381"/>
      <c r="J46" s="382"/>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25" customHeight="1">
      <c r="A47" s="52"/>
      <c r="B47" s="51" t="str">
        <f ca="1">OFFSET(L!$C$1,MATCH("Declaration"&amp;ADDRESS(ROW(),COLUMN(),4),L!$A:$A,0)-1,SL,,)&amp;P47</f>
        <v>Tungsten  (*)</v>
      </c>
      <c r="C47" s="13"/>
      <c r="D47" s="378" t="s">
        <v>500</v>
      </c>
      <c r="E47" s="379"/>
      <c r="F47" s="58"/>
      <c r="G47" s="380"/>
      <c r="H47" s="381"/>
      <c r="I47" s="381"/>
      <c r="J47" s="382"/>
      <c r="K47" s="47"/>
      <c r="L47" s="136"/>
      <c r="M47" s="130"/>
      <c r="N47" s="130"/>
      <c r="O47" s="131"/>
      <c r="P47" s="144" t="str">
        <f>IF((OR(D$29="No",D$35="No")),"","(*)")</f>
        <v>(*)</v>
      </c>
      <c r="Q47" s="12"/>
      <c r="R47" s="12"/>
      <c r="S47" s="12"/>
      <c r="T47" s="12"/>
      <c r="U47" s="12"/>
      <c r="V47" s="12"/>
      <c r="W47" s="12"/>
      <c r="X47" s="12"/>
      <c r="Y47" s="12"/>
      <c r="Z47" s="12"/>
      <c r="AA47" s="12"/>
      <c r="AB47" s="12"/>
      <c r="AC47" s="12"/>
      <c r="AD47" s="12"/>
      <c r="AE47" s="12"/>
      <c r="AF47" s="12"/>
      <c r="AG47" s="12"/>
      <c r="AH47" s="12"/>
    </row>
    <row r="48" spans="1:34" ht="23.25"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398" t="str">
        <f ca="1">D25</f>
        <v>Answer</v>
      </c>
      <c r="E49" s="398"/>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5">
      <c r="A50" s="52"/>
      <c r="B50" s="51" t="str">
        <f ca="1">B38</f>
        <v>Tantalum  (*)</v>
      </c>
      <c r="C50" s="13"/>
      <c r="D50" s="378" t="s">
        <v>499</v>
      </c>
      <c r="E50" s="379"/>
      <c r="F50" s="58"/>
      <c r="G50" s="380"/>
      <c r="H50" s="381"/>
      <c r="I50" s="381"/>
      <c r="J50" s="382"/>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5">
      <c r="A51" s="52"/>
      <c r="B51" s="51" t="str">
        <f ca="1">B39</f>
        <v>Tin  (*)</v>
      </c>
      <c r="C51" s="13"/>
      <c r="D51" s="378" t="s">
        <v>499</v>
      </c>
      <c r="E51" s="379"/>
      <c r="F51" s="58"/>
      <c r="G51" s="380"/>
      <c r="H51" s="381"/>
      <c r="I51" s="381"/>
      <c r="J51" s="382"/>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5">
      <c r="A52" s="52"/>
      <c r="B52" s="51" t="str">
        <f ca="1">B40</f>
        <v>Gold  (*)</v>
      </c>
      <c r="C52" s="13"/>
      <c r="D52" s="378" t="s">
        <v>499</v>
      </c>
      <c r="E52" s="379"/>
      <c r="F52" s="58"/>
      <c r="G52" s="380"/>
      <c r="H52" s="381"/>
      <c r="I52" s="381"/>
      <c r="J52" s="382"/>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5">
      <c r="A53" s="52"/>
      <c r="B53" s="51" t="str">
        <f ca="1">B41</f>
        <v>Tungsten  (*)</v>
      </c>
      <c r="C53" s="13"/>
      <c r="D53" s="378" t="s">
        <v>499</v>
      </c>
      <c r="E53" s="379"/>
      <c r="F53" s="58"/>
      <c r="G53" s="380"/>
      <c r="H53" s="381"/>
      <c r="I53" s="381"/>
      <c r="J53" s="382"/>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8">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45" customHeight="1">
      <c r="A55" s="52"/>
      <c r="B55" s="161" t="str">
        <f ca="1">OFFSET(L!$C$1,MATCH("Declaration"&amp;ADDRESS(ROW(),COLUMN(),4),L!$A:$A,0)-1,SL,,)&amp;Q$37</f>
        <v>6) What percentage of relevant suppliers have provided a response to your supply chain survey?  (*)</v>
      </c>
      <c r="C55" s="13"/>
      <c r="D55" s="398" t="str">
        <f ca="1">D25</f>
        <v>Answer</v>
      </c>
      <c r="E55" s="398"/>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5">
      <c r="A56" s="52"/>
      <c r="B56" s="51" t="str">
        <f ca="1">B38</f>
        <v>Tantalum  (*)</v>
      </c>
      <c r="C56" s="46"/>
      <c r="D56" s="399" t="s">
        <v>2627</v>
      </c>
      <c r="E56" s="400"/>
      <c r="F56" s="58"/>
      <c r="G56" s="380"/>
      <c r="H56" s="381"/>
      <c r="I56" s="381"/>
      <c r="J56" s="382"/>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5">
      <c r="A57" s="52"/>
      <c r="B57" s="51" t="str">
        <f ca="1">B39</f>
        <v>Tin  (*)</v>
      </c>
      <c r="C57" s="46"/>
      <c r="D57" s="399" t="s">
        <v>2627</v>
      </c>
      <c r="E57" s="400"/>
      <c r="F57" s="58"/>
      <c r="G57" s="380"/>
      <c r="H57" s="381"/>
      <c r="I57" s="381"/>
      <c r="J57" s="382"/>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5">
      <c r="A58" s="52"/>
      <c r="B58" s="51" t="str">
        <f ca="1">B40</f>
        <v>Gold  (*)</v>
      </c>
      <c r="C58" s="46"/>
      <c r="D58" s="399" t="s">
        <v>2627</v>
      </c>
      <c r="E58" s="400"/>
      <c r="F58" s="58"/>
      <c r="G58" s="380"/>
      <c r="H58" s="381"/>
      <c r="I58" s="381"/>
      <c r="J58" s="382"/>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5">
      <c r="A59" s="52"/>
      <c r="B59" s="51" t="str">
        <f ca="1">B41</f>
        <v>Tungsten  (*)</v>
      </c>
      <c r="C59" s="46"/>
      <c r="D59" s="399" t="s">
        <v>2627</v>
      </c>
      <c r="E59" s="400"/>
      <c r="F59" s="58"/>
      <c r="G59" s="380"/>
      <c r="H59" s="381"/>
      <c r="I59" s="381"/>
      <c r="J59" s="382"/>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7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5.75">
      <c r="A61" s="52"/>
      <c r="B61" s="161" t="str">
        <f ca="1">OFFSET(L!$C$1,MATCH("Declaration"&amp;ADDRESS(ROW(),COLUMN(),4),L!$A:$A,0)-1,SL,,)&amp;Q$37</f>
        <v>7) Have you identified all of the smelters supplying the 3TG to your supply chain?  (*)</v>
      </c>
      <c r="C61" s="13"/>
      <c r="D61" s="398" t="str">
        <f ca="1">D25</f>
        <v>Answer</v>
      </c>
      <c r="E61" s="398"/>
      <c r="F61" s="21"/>
      <c r="G61" s="55" t="str">
        <f ca="1">G25</f>
        <v>Comments</v>
      </c>
      <c r="H61" s="391"/>
      <c r="I61" s="391"/>
      <c r="J61" s="391"/>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5">
      <c r="A62" s="52"/>
      <c r="B62" s="51" t="str">
        <f ca="1">B38</f>
        <v>Tantalum  (*)</v>
      </c>
      <c r="C62" s="13"/>
      <c r="D62" s="396" t="s">
        <v>499</v>
      </c>
      <c r="E62" s="397"/>
      <c r="F62" s="58"/>
      <c r="G62" s="380"/>
      <c r="H62" s="381"/>
      <c r="I62" s="381"/>
      <c r="J62" s="382"/>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5">
      <c r="A63" s="52"/>
      <c r="B63" s="51" t="str">
        <f ca="1">B39</f>
        <v>Tin  (*)</v>
      </c>
      <c r="C63" s="13"/>
      <c r="D63" s="378" t="s">
        <v>499</v>
      </c>
      <c r="E63" s="379"/>
      <c r="F63" s="58"/>
      <c r="G63" s="380"/>
      <c r="H63" s="381"/>
      <c r="I63" s="381"/>
      <c r="J63" s="382"/>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5">
      <c r="A64" s="52"/>
      <c r="B64" s="51" t="str">
        <f ca="1">B40</f>
        <v>Gold  (*)</v>
      </c>
      <c r="C64" s="13"/>
      <c r="D64" s="378" t="s">
        <v>499</v>
      </c>
      <c r="E64" s="379"/>
      <c r="F64" s="58"/>
      <c r="G64" s="380"/>
      <c r="H64" s="381"/>
      <c r="I64" s="381"/>
      <c r="J64" s="382"/>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5">
      <c r="A65" s="52"/>
      <c r="B65" s="51" t="str">
        <f ca="1">B41</f>
        <v>Tungsten  (*)</v>
      </c>
      <c r="C65" s="13"/>
      <c r="D65" s="378" t="s">
        <v>499</v>
      </c>
      <c r="E65" s="379"/>
      <c r="F65" s="58"/>
      <c r="G65" s="380"/>
      <c r="H65" s="381"/>
      <c r="I65" s="381"/>
      <c r="J65" s="382"/>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7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5.75">
      <c r="A67" s="52"/>
      <c r="B67" s="55" t="str">
        <f ca="1">OFFSET(L!$C$1,MATCH("Declaration"&amp;ADDRESS(ROW(),COLUMN(),4),L!$A:$A,0)-1,SL,,)&amp;Q$37</f>
        <v>8) Has all applicable smelter information received by your company been reported in this declaration?  (*)</v>
      </c>
      <c r="C67" s="13"/>
      <c r="D67" s="398" t="str">
        <f ca="1">D25</f>
        <v>Answer</v>
      </c>
      <c r="E67" s="398"/>
      <c r="F67" s="21"/>
      <c r="G67" s="55" t="str">
        <f ca="1">G25</f>
        <v>Comments</v>
      </c>
      <c r="H67" s="391" t="str">
        <f>IF(Q75="(*)","Click here to enter smelter names","")</f>
        <v/>
      </c>
      <c r="I67" s="391"/>
      <c r="J67" s="391"/>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5">
      <c r="A68" s="52"/>
      <c r="B68" s="51" t="str">
        <f ca="1">B38</f>
        <v>Tantalum  (*)</v>
      </c>
      <c r="C68" s="46"/>
      <c r="D68" s="378" t="s">
        <v>498</v>
      </c>
      <c r="E68" s="379"/>
      <c r="F68" s="59"/>
      <c r="G68" s="380"/>
      <c r="H68" s="381"/>
      <c r="I68" s="381"/>
      <c r="J68" s="382"/>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5">
      <c r="A69" s="52"/>
      <c r="B69" s="51" t="str">
        <f ca="1">B39</f>
        <v>Tin  (*)</v>
      </c>
      <c r="C69" s="46"/>
      <c r="D69" s="378" t="s">
        <v>498</v>
      </c>
      <c r="E69" s="379"/>
      <c r="F69" s="59"/>
      <c r="G69" s="380"/>
      <c r="H69" s="381"/>
      <c r="I69" s="381"/>
      <c r="J69" s="382"/>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5">
      <c r="A70" s="52"/>
      <c r="B70" s="51" t="str">
        <f ca="1">B40</f>
        <v>Gold  (*)</v>
      </c>
      <c r="C70" s="46"/>
      <c r="D70" s="378" t="s">
        <v>498</v>
      </c>
      <c r="E70" s="379"/>
      <c r="F70" s="59"/>
      <c r="G70" s="380"/>
      <c r="H70" s="381"/>
      <c r="I70" s="381"/>
      <c r="J70" s="382"/>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5">
      <c r="A71" s="49"/>
      <c r="B71" s="51" t="str">
        <f ca="1">B41</f>
        <v>Tungsten  (*)</v>
      </c>
      <c r="C71" s="60"/>
      <c r="D71" s="378" t="s">
        <v>498</v>
      </c>
      <c r="E71" s="379"/>
      <c r="F71" s="61"/>
      <c r="G71" s="380"/>
      <c r="H71" s="381"/>
      <c r="I71" s="381"/>
      <c r="J71" s="382"/>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383" t="str">
        <f ca="1">OFFSET(L!$C$1,MATCH("Declaration"&amp;ADDRESS(ROW(),COLUMN(),4),L!$A:$A,0)-1,SL,,)</f>
        <v>Answer the Following Questions at a Company Level</v>
      </c>
      <c r="C73" s="383"/>
      <c r="D73" s="383"/>
      <c r="E73" s="383"/>
      <c r="F73" s="383"/>
      <c r="G73" s="383"/>
      <c r="H73" s="383"/>
      <c r="I73" s="383"/>
      <c r="J73" s="383"/>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75">
      <c r="A74" s="62"/>
      <c r="B74" s="63" t="str">
        <f ca="1">OFFSET(L!$C$1,MATCH("Declaration"&amp;ADDRESS(ROW(),COLUMN(),4),L!$A:$A,0)-1,SL,,)</f>
        <v>Question</v>
      </c>
      <c r="C74" s="94"/>
      <c r="D74" s="392" t="str">
        <f ca="1">D25</f>
        <v>Answer</v>
      </c>
      <c r="E74" s="392"/>
      <c r="F74" s="64"/>
      <c r="G74" s="392" t="str">
        <f ca="1">G25</f>
        <v>Comments</v>
      </c>
      <c r="H74" s="392" t="e">
        <f>HLOOKUP(SL,LT,$O74,0)</f>
        <v>#NAME?</v>
      </c>
      <c r="I74" s="392"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 (*)</v>
      </c>
      <c r="C75" s="68"/>
      <c r="D75" s="378" t="s">
        <v>498</v>
      </c>
      <c r="E75" s="379"/>
      <c r="F75" s="68"/>
      <c r="G75" s="380"/>
      <c r="H75" s="381"/>
      <c r="I75" s="381"/>
      <c r="J75" s="382"/>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75">
      <c r="A76" s="52"/>
      <c r="B76" s="69"/>
      <c r="C76" s="15"/>
      <c r="D76" s="1"/>
      <c r="E76" s="1"/>
      <c r="F76" s="15"/>
      <c r="G76" s="389"/>
      <c r="H76" s="389"/>
      <c r="I76" s="389"/>
      <c r="J76" s="389"/>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78" t="s">
        <v>498</v>
      </c>
      <c r="E77" s="379"/>
      <c r="F77" s="68"/>
      <c r="G77" s="380"/>
      <c r="H77" s="381"/>
      <c r="I77" s="381"/>
      <c r="J77" s="382"/>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7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50.2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78" t="s">
        <v>498</v>
      </c>
      <c r="E79" s="379"/>
      <c r="F79" s="68"/>
      <c r="G79" s="380"/>
      <c r="H79" s="381"/>
      <c r="I79" s="381"/>
      <c r="J79" s="382"/>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7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78" t="s">
        <v>498</v>
      </c>
      <c r="E81" s="379"/>
      <c r="F81" s="68"/>
      <c r="G81" s="380"/>
      <c r="H81" s="381"/>
      <c r="I81" s="381"/>
      <c r="J81" s="382"/>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7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78" t="s">
        <v>15442</v>
      </c>
      <c r="E83" s="379"/>
      <c r="F83" s="68"/>
      <c r="G83" s="380"/>
      <c r="H83" s="381"/>
      <c r="I83" s="381"/>
      <c r="J83" s="382"/>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387" t="s">
        <v>498</v>
      </c>
      <c r="E85" s="388"/>
      <c r="F85" s="68"/>
      <c r="G85" s="380"/>
      <c r="H85" s="381"/>
      <c r="I85" s="381"/>
      <c r="J85" s="382"/>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75">
      <c r="A86" s="52"/>
      <c r="B86" s="72"/>
      <c r="C86" s="15"/>
      <c r="D86" s="1"/>
      <c r="E86" s="1"/>
      <c r="F86" s="16"/>
      <c r="G86" s="389"/>
      <c r="H86" s="389"/>
      <c r="I86" s="389"/>
      <c r="J86" s="389"/>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5" customHeight="1">
      <c r="A87" s="52"/>
      <c r="B87" s="67" t="str">
        <f ca="1">OFFSET(L!$C$1,MATCH("Declaration"&amp;ADDRESS(ROW(),COLUMN(),4),L!$A:$A,0)-1,SL,,)&amp;$Q$37</f>
        <v>G. Does your review process include corrective action management? (*)</v>
      </c>
      <c r="C87" s="68"/>
      <c r="D87" s="378" t="s">
        <v>498</v>
      </c>
      <c r="E87" s="379"/>
      <c r="F87" s="68"/>
      <c r="G87" s="380"/>
      <c r="H87" s="381"/>
      <c r="I87" s="381"/>
      <c r="J87" s="382"/>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75">
      <c r="A88" s="52"/>
      <c r="B88" s="69"/>
      <c r="C88" s="15"/>
      <c r="D88" s="1"/>
      <c r="E88" s="1"/>
      <c r="F88" s="16"/>
      <c r="G88" s="390"/>
      <c r="H88" s="390"/>
      <c r="I88" s="390"/>
      <c r="J88" s="390"/>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378" t="s">
        <v>499</v>
      </c>
      <c r="E89" s="379"/>
      <c r="F89" s="68"/>
      <c r="G89" s="380"/>
      <c r="H89" s="381"/>
      <c r="I89" s="381"/>
      <c r="J89" s="382"/>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386" t="str">
        <f>IF(OR($D$8="",$I$3=""),"","Click here to check required fields completion")</f>
        <v/>
      </c>
      <c r="C90" s="386"/>
      <c r="D90" s="386"/>
      <c r="E90" s="386"/>
      <c r="F90" s="386"/>
      <c r="G90" s="386"/>
      <c r="H90" s="386"/>
      <c r="I90" s="386"/>
      <c r="J90" s="386"/>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75" thickBot="1">
      <c r="A91" s="384" t="str">
        <f ca="1">OFFSET(L!$C$1,MATCH("General"&amp;"Cpy",L!$A:$A,0)-1,SL,,)</f>
        <v>© 2020 Responsible Minerals Initiative. All rights reserved.</v>
      </c>
      <c r="B91" s="385"/>
      <c r="C91" s="385"/>
      <c r="D91" s="385"/>
      <c r="E91" s="385"/>
      <c r="F91" s="385"/>
      <c r="G91" s="385"/>
      <c r="H91" s="385"/>
      <c r="I91" s="385"/>
      <c r="J91" s="385"/>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7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75" hidden="1">
      <c r="B98" s="67" t="s">
        <v>500</v>
      </c>
    </row>
    <row r="99" spans="2:2" ht="15.75" hidden="1">
      <c r="B99" s="223">
        <v>1</v>
      </c>
    </row>
    <row r="100" spans="2:2" ht="15.75" hidden="1">
      <c r="B100" s="292" t="s">
        <v>2626</v>
      </c>
    </row>
    <row r="101" spans="2:2" ht="15.75" hidden="1">
      <c r="B101" s="292" t="s">
        <v>2627</v>
      </c>
    </row>
    <row r="102" spans="2:2" ht="15.75" hidden="1">
      <c r="B102" s="292" t="s">
        <v>2628</v>
      </c>
    </row>
    <row r="103" spans="2:2" ht="15.75" hidden="1">
      <c r="B103" s="292" t="s">
        <v>2629</v>
      </c>
    </row>
    <row r="104" spans="2:2" ht="15.75" hidden="1">
      <c r="B104" s="292" t="s">
        <v>501</v>
      </c>
    </row>
    <row r="105" spans="2:2" ht="15.75" hidden="1">
      <c r="B105" s="292" t="s">
        <v>15442</v>
      </c>
    </row>
    <row r="106" spans="2:2" ht="15.75" hidden="1">
      <c r="B106" s="292" t="s">
        <v>12721</v>
      </c>
    </row>
    <row r="107" spans="2:2" ht="15.75" hidden="1">
      <c r="B107" s="292" t="s">
        <v>499</v>
      </c>
    </row>
    <row r="108" spans="2:2" ht="15.75" hidden="1">
      <c r="B108" s="292" t="s">
        <v>14352</v>
      </c>
    </row>
    <row r="109" spans="2:2" ht="15.75" hidden="1">
      <c r="B109" s="292" t="s">
        <v>14354</v>
      </c>
    </row>
    <row r="110" spans="2:2" ht="15.75" hidden="1">
      <c r="B110" s="292" t="s">
        <v>14355</v>
      </c>
    </row>
    <row r="111" spans="2:2" ht="15.75" hidden="1">
      <c r="B111" s="292" t="s">
        <v>499</v>
      </c>
    </row>
  </sheetData>
  <sheetProtection algorithmName="SHA-512" hashValue="yYku66PaBko8A9insidQF4bLlMIe+DCnardcqptiW9nqSwYqangOlwqo+rnrHMlamWTSo2ix0BHJJkeAWe4KBA==" saltValue="R2TLrbcwStK+qHdmwsf/5w==" spinCount="100000" sheet="1" objects="1" scenarios="1" formatRows="0" insertHyperlinks="0"/>
  <customSheetViews>
    <customSheetView guid="{81CF54B1-70AB-4A68-BB72-21925B5D4874}" scale="80" fitToPage="1" hiddenColumns="1">
      <selection activeCell="D8" sqref="D8:J8"/>
      <pageMargins left="0.7" right="0.7" top="0.75" bottom="0.75" header="0.3" footer="0.3"/>
      <pageSetup orientation="portrait" r:id="rId1"/>
    </customSheetView>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2"/>
    </customSheetView>
  </customSheetViews>
  <mergeCells count="124">
    <mergeCell ref="D52:E52"/>
    <mergeCell ref="D35:E35"/>
    <mergeCell ref="G57:J57"/>
    <mergeCell ref="G58:J58"/>
    <mergeCell ref="G59:J59"/>
    <mergeCell ref="D58:E58"/>
    <mergeCell ref="G38:J38"/>
    <mergeCell ref="D39:E39"/>
    <mergeCell ref="D49:E49"/>
    <mergeCell ref="D55:E55"/>
    <mergeCell ref="G35:J35"/>
    <mergeCell ref="D53:E53"/>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A91:J91"/>
    <mergeCell ref="G85:J85"/>
    <mergeCell ref="B90:J90"/>
    <mergeCell ref="D81:E81"/>
    <mergeCell ref="D87:E87"/>
    <mergeCell ref="D85:E85"/>
    <mergeCell ref="D89:E89"/>
    <mergeCell ref="G86:J86"/>
    <mergeCell ref="G87:J87"/>
    <mergeCell ref="G88:J88"/>
    <mergeCell ref="D71:E71"/>
    <mergeCell ref="G75:J75"/>
    <mergeCell ref="D70:E70"/>
    <mergeCell ref="D75:E75"/>
    <mergeCell ref="B73:J73"/>
    <mergeCell ref="D83:E83"/>
    <mergeCell ref="G89:J89"/>
    <mergeCell ref="D79:E79"/>
    <mergeCell ref="G83:J83"/>
    <mergeCell ref="G79:J79"/>
  </mergeCells>
  <conditionalFormatting sqref="D81:E81 D85:E85 D87:E87 D89:E89 D83">
    <cfRule type="expression" dxfId="118" priority="90" stopIfTrue="1">
      <formula>AND(OR($D$26="No",AND($D$26="Yes",$D$32="No")),OR($D$27="No",AND($D$27="Yes",$D$33="No")),OR($D$28="No",AND($D$28="Yes",$D$34="No")),OR($D$29="No",AND($D$29="Yes",$D$35="No")))</formula>
    </cfRule>
    <cfRule type="expression" dxfId="117" priority="91" stopIfTrue="1">
      <formula>IF(D81="",TRUE)</formula>
    </cfRule>
  </conditionalFormatting>
  <conditionalFormatting sqref="D26:E26">
    <cfRule type="expression" dxfId="115" priority="142" stopIfTrue="1">
      <formula>IF($D$26="",TRUE)</formula>
    </cfRule>
  </conditionalFormatting>
  <conditionalFormatting sqref="D8:J8">
    <cfRule type="expression" dxfId="114" priority="156" stopIfTrue="1">
      <formula>IF($D$8="",TRUE)</formula>
    </cfRule>
  </conditionalFormatting>
  <conditionalFormatting sqref="D9:G9">
    <cfRule type="expression" dxfId="113" priority="157" stopIfTrue="1">
      <formula>IF($D$9="",TRUE)</formula>
    </cfRule>
  </conditionalFormatting>
  <conditionalFormatting sqref="D22:E22">
    <cfRule type="expression" dxfId="108" priority="164" stopIfTrue="1">
      <formula>IF($D$22="",TRUE)</formula>
    </cfRule>
  </conditionalFormatting>
  <conditionalFormatting sqref="D10:J10">
    <cfRule type="expression" dxfId="107" priority="61" stopIfTrue="1">
      <formula>IF($D$9=$Q$9,TRUE)</formula>
    </cfRule>
    <cfRule type="expression" dxfId="106" priority="171" stopIfTrue="1">
      <formula>IF(AND($D$10="",$D$9=$R$9),TRUE)</formula>
    </cfRule>
  </conditionalFormatting>
  <conditionalFormatting sqref="D58:E58 D64:E64">
    <cfRule type="expression" dxfId="105" priority="54" stopIfTrue="1">
      <formula>$P$28=""</formula>
    </cfRule>
  </conditionalFormatting>
  <conditionalFormatting sqref="D59:E59 D65:E65">
    <cfRule type="expression" dxfId="104" priority="169" stopIfTrue="1">
      <formula>$P$29=""</formula>
    </cfRule>
  </conditionalFormatting>
  <conditionalFormatting sqref="D32:E32">
    <cfRule type="expression" dxfId="103" priority="147" stopIfTrue="1">
      <formula>$P$26=""</formula>
    </cfRule>
  </conditionalFormatting>
  <conditionalFormatting sqref="D32:E32">
    <cfRule type="expression" dxfId="102" priority="60" stopIfTrue="1">
      <formula>IF(AND(OR($D$26="Yes",$D$26=""),$D$32=""),1,0)</formula>
    </cfRule>
  </conditionalFormatting>
  <conditionalFormatting sqref="D38 D50 D56 D62 D68">
    <cfRule type="expression" dxfId="101" priority="56" stopIfTrue="1">
      <formula>$P$32=""</formula>
    </cfRule>
  </conditionalFormatting>
  <conditionalFormatting sqref="D57 D63">
    <cfRule type="expression" dxfId="100" priority="55" stopIfTrue="1">
      <formula>$P$33=""</formula>
    </cfRule>
  </conditionalFormatting>
  <conditionalFormatting sqref="D58 D64">
    <cfRule type="expression" dxfId="99" priority="45" stopIfTrue="1">
      <formula>$P$34=""</formula>
    </cfRule>
    <cfRule type="expression" dxfId="98" priority="167" stopIfTrue="1">
      <formula>IF(AND(OR($D$28="Yes",$D$28=""),D58=""),1,0)</formula>
    </cfRule>
  </conditionalFormatting>
  <conditionalFormatting sqref="D59 D65">
    <cfRule type="expression" dxfId="97" priority="53" stopIfTrue="1">
      <formula>$P$35=""</formula>
    </cfRule>
  </conditionalFormatting>
  <conditionalFormatting sqref="D38:E38 D50:E50 D56:E56 D62:E62 D68:E68">
    <cfRule type="expression" dxfId="96" priority="58" stopIfTrue="1">
      <formula>$P$26=""</formula>
    </cfRule>
    <cfRule type="expression" dxfId="95" priority="59" stopIfTrue="1">
      <formula>IF(AND(OR($D$26="Yes",$D$26=""),D38=""),1,0)</formula>
    </cfRule>
  </conditionalFormatting>
  <conditionalFormatting sqref="G85:J85">
    <cfRule type="expression" dxfId="94" priority="52" stopIfTrue="1">
      <formula>IF(AND($D$85="Yes, using other format (describe)",$G$85=""),TRUE)</formula>
    </cfRule>
  </conditionalFormatting>
  <conditionalFormatting sqref="D57:E57 D63:E63">
    <cfRule type="expression" dxfId="93" priority="165" stopIfTrue="1">
      <formula>$P$39=""</formula>
    </cfRule>
    <cfRule type="expression" dxfId="92" priority="166" stopIfTrue="1">
      <formula>IF(AND(OR($D$27="Yes",$D$27=""),D57=""),1,0)</formula>
    </cfRule>
  </conditionalFormatting>
  <conditionalFormatting sqref="D59:E59 D65:E65">
    <cfRule type="expression" dxfId="91" priority="170" stopIfTrue="1">
      <formula>IF(AND(OR($D$29="Yes",$D$29=""),D59=""),1,0)</formula>
    </cfRule>
  </conditionalFormatting>
  <conditionalFormatting sqref="D44">
    <cfRule type="expression" dxfId="89" priority="32" stopIfTrue="1">
      <formula>$P$32=""</formula>
    </cfRule>
  </conditionalFormatting>
  <conditionalFormatting sqref="D44:E44">
    <cfRule type="expression" dxfId="88" priority="33" stopIfTrue="1">
      <formula>$P$26=""</formula>
    </cfRule>
    <cfRule type="expression" dxfId="87" priority="34" stopIfTrue="1">
      <formula>IF(AND(OR($D$26="Yes",$D$26=""),D44=""),1,0)</formula>
    </cfRule>
  </conditionalFormatting>
  <conditionalFormatting sqref="D27:E29">
    <cfRule type="expression" dxfId="86" priority="27" stopIfTrue="1">
      <formula>IF($D$26="",TRUE)</formula>
    </cfRule>
  </conditionalFormatting>
  <conditionalFormatting sqref="D33:E35">
    <cfRule type="expression" dxfId="85" priority="26" stopIfTrue="1">
      <formula>$P$26=""</formula>
    </cfRule>
  </conditionalFormatting>
  <conditionalFormatting sqref="D33:E35">
    <cfRule type="expression" dxfId="84" priority="25" stopIfTrue="1">
      <formula>IF(AND(OR($D$26="Yes",$D$26=""),$D$32=""),1,0)</formula>
    </cfRule>
  </conditionalFormatting>
  <conditionalFormatting sqref="D39:D41">
    <cfRule type="expression" dxfId="83" priority="22" stopIfTrue="1">
      <formula>$P$32=""</formula>
    </cfRule>
  </conditionalFormatting>
  <conditionalFormatting sqref="D39:E41">
    <cfRule type="expression" dxfId="82" priority="23" stopIfTrue="1">
      <formula>$P$26=""</formula>
    </cfRule>
    <cfRule type="expression" dxfId="81" priority="24" stopIfTrue="1">
      <formula>IF(AND(OR($D$26="Yes",$D$26=""),D39=""),1,0)</formula>
    </cfRule>
  </conditionalFormatting>
  <conditionalFormatting sqref="D45:D47">
    <cfRule type="expression" dxfId="80" priority="19" stopIfTrue="1">
      <formula>$P$32=""</formula>
    </cfRule>
  </conditionalFormatting>
  <conditionalFormatting sqref="D45:E47">
    <cfRule type="expression" dxfId="79" priority="20" stopIfTrue="1">
      <formula>$P$26=""</formula>
    </cfRule>
    <cfRule type="expression" dxfId="78" priority="21" stopIfTrue="1">
      <formula>IF(AND(OR($D$26="Yes",$D$26=""),D45=""),1,0)</formula>
    </cfRule>
  </conditionalFormatting>
  <conditionalFormatting sqref="D51:D53">
    <cfRule type="expression" dxfId="77" priority="16" stopIfTrue="1">
      <formula>$P$32=""</formula>
    </cfRule>
  </conditionalFormatting>
  <conditionalFormatting sqref="D51:E53">
    <cfRule type="expression" dxfId="76" priority="17" stopIfTrue="1">
      <formula>$P$26=""</formula>
    </cfRule>
    <cfRule type="expression" dxfId="75" priority="18" stopIfTrue="1">
      <formula>IF(AND(OR($D$26="Yes",$D$26=""),D51=""),1,0)</formula>
    </cfRule>
  </conditionalFormatting>
  <conditionalFormatting sqref="D69:D71">
    <cfRule type="expression" dxfId="74" priority="13" stopIfTrue="1">
      <formula>$P$32=""</formula>
    </cfRule>
  </conditionalFormatting>
  <conditionalFormatting sqref="D69:E71">
    <cfRule type="expression" dxfId="73" priority="14" stopIfTrue="1">
      <formula>$P$26=""</formula>
    </cfRule>
    <cfRule type="expression" dxfId="72" priority="15" stopIfTrue="1">
      <formula>IF(AND(OR($D$26="Yes",$D$26=""),D69=""),1,0)</formula>
    </cfRule>
  </conditionalFormatting>
  <conditionalFormatting sqref="D15:J15">
    <cfRule type="expression" dxfId="11" priority="12" stopIfTrue="1">
      <formula>IF($D$15="",TRUE)</formula>
    </cfRule>
  </conditionalFormatting>
  <conditionalFormatting sqref="D16:J16">
    <cfRule type="expression" dxfId="10" priority="11" stopIfTrue="1">
      <formula>IF($D$16="",TRUE)</formula>
    </cfRule>
  </conditionalFormatting>
  <conditionalFormatting sqref="D17:J17">
    <cfRule type="expression" dxfId="9" priority="10" stopIfTrue="1">
      <formula>IF($D$17="",TRUE)</formula>
    </cfRule>
  </conditionalFormatting>
  <conditionalFormatting sqref="D18:J18">
    <cfRule type="expression" dxfId="8" priority="9" stopIfTrue="1">
      <formula>IF($D$18="",TRUE)</formula>
    </cfRule>
  </conditionalFormatting>
  <conditionalFormatting sqref="D20:J20">
    <cfRule type="expression" dxfId="7" priority="8" stopIfTrue="1">
      <formula>IF($D$20="",TRUE)</formula>
    </cfRule>
  </conditionalFormatting>
  <conditionalFormatting sqref="D21:J21">
    <cfRule type="expression" dxfId="6" priority="7" stopIfTrue="1">
      <formula>IF($D$21="",TRUE)</formula>
    </cfRule>
  </conditionalFormatting>
  <conditionalFormatting sqref="D75:E75">
    <cfRule type="expression" dxfId="5" priority="5" stopIfTrue="1">
      <formula>AND(OR($D$26="No",AND($D$26="Yes",$D$32="No")),OR($D$27="No",AND($D$27="Yes",$D$33="No")), OR($D$28="No",AND($D$28="Yes",$D$34="No")), OR($D$29="No",AND($D$29="Yes",$D$35="No")))</formula>
    </cfRule>
    <cfRule type="expression" dxfId="4" priority="6" stopIfTrue="1">
      <formula>IF(D75="",TRUE)</formula>
    </cfRule>
  </conditionalFormatting>
  <conditionalFormatting sqref="D77:E77">
    <cfRule type="expression" dxfId="3" priority="3" stopIfTrue="1">
      <formula>AND(OR($D$26="No",AND($D$26="Yes",$D$32="No")),OR($D$27="No",AND($D$27="Yes",$D$33="No")), OR($D$28="No",AND($D$28="Yes",$D$34="No")), OR($D$29="No",AND($D$29="Yes",$D$35="No")))</formula>
    </cfRule>
    <cfRule type="expression" dxfId="2" priority="4" stopIfTrue="1">
      <formula>IF(D77="",TRUE)</formula>
    </cfRule>
  </conditionalFormatting>
  <conditionalFormatting sqref="D79:E79">
    <cfRule type="expression" dxfId="1" priority="1" stopIfTrue="1">
      <formula>AND(OR($D$26="No",AND($D$26="Yes",$D$32="No")),OR($D$27="No",AND($D$27="Yes",$D$33="No")), OR($D$28="No",AND($D$28="Yes",$D$34="No")), OR($D$29="No",AND($D$29="Yes",$D$35="No")))</formula>
    </cfRule>
    <cfRule type="expression" dxfId="0" priority="2" stopIfTrue="1">
      <formula>IF(D79="",TRUE)</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I4:J4" location="Instructions!B71" display="Link to Terms &amp; Conditions" xr:uid="{00000000-0004-0000-0300-000000000000}"/>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s>
  <pageMargins left="0.70866141732283505" right="0.70866141732283505" top="0.74803149606299202" bottom="0.74803149606299202" header="0.31496062992126" footer="0.31496062992126"/>
  <pageSetup scale="41" fitToHeight="0" orientation="portrait" r:id="rId3"/>
  <rowBreaks count="1" manualBreakCount="1">
    <brk id="66" max="11"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50" zoomScaleNormal="50" zoomScalePageLayoutView="55" workbookViewId="0">
      <pane ySplit="4" topLeftCell="A143" activePane="bottomLeft" state="frozen"/>
      <selection pane="bottomLeft" activeCell="B3" sqref="B3:E3"/>
    </sheetView>
  </sheetViews>
  <sheetFormatPr defaultColWidth="8.875" defaultRowHeight="12.75"/>
  <cols>
    <col min="1" max="1" width="13.625" style="277" customWidth="1"/>
    <col min="2" max="2" width="13.375" style="282" customWidth="1"/>
    <col min="3" max="3" width="40.625" style="282" customWidth="1"/>
    <col min="4" max="4" width="30.625" style="282" customWidth="1"/>
    <col min="5" max="5" width="20.875" style="282" customWidth="1"/>
    <col min="6" max="7" width="13.875" style="282" customWidth="1"/>
    <col min="8" max="8" width="25.125" style="282" customWidth="1"/>
    <col min="9" max="9" width="24.125" style="282" customWidth="1"/>
    <col min="10" max="10" width="18.375" style="282" customWidth="1"/>
    <col min="11" max="11" width="27.375" style="282" customWidth="1"/>
    <col min="12" max="12" width="20.625" style="282" customWidth="1"/>
    <col min="13" max="13" width="35.125" style="282" customWidth="1"/>
    <col min="14" max="14" width="42.125" style="282" customWidth="1"/>
    <col min="15" max="15" width="32.125" style="282" customWidth="1"/>
    <col min="16" max="16" width="22.875" style="282" customWidth="1"/>
    <col min="17" max="17" width="43.625" style="282" customWidth="1"/>
    <col min="18" max="18" width="35.875" style="282" hidden="1" customWidth="1"/>
    <col min="19" max="20" width="17.875" style="282" hidden="1" customWidth="1"/>
    <col min="21" max="21" width="8.875" style="281" hidden="1" customWidth="1"/>
    <col min="22" max="22" width="6.125" style="281" hidden="1" customWidth="1"/>
    <col min="23" max="23" width="8.625" style="281" hidden="1" customWidth="1"/>
    <col min="24" max="24" width="8.875" style="281" hidden="1" customWidth="1"/>
    <col min="25" max="26" width="4.375" style="281" hidden="1" customWidth="1"/>
    <col min="27" max="27" width="4.375" style="282" hidden="1" customWidth="1"/>
    <col min="28" max="28" width="7.875" style="282" hidden="1" customWidth="1"/>
    <col min="29" max="33" width="4.375" style="282" hidden="1" customWidth="1"/>
    <col min="34" max="34" width="14.625" style="282" hidden="1" customWidth="1"/>
    <col min="35" max="39" width="8.875" style="282" customWidth="1"/>
    <col min="40" max="16384" width="8.875" style="282"/>
  </cols>
  <sheetData>
    <row r="1" spans="1:34" s="269" customFormat="1" ht="15.95"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7">
      <c r="A2" s="203"/>
      <c r="B2" s="222" t="str">
        <f ca="1">OFFSET(L!$C$1,MATCH("Smelter List"&amp;ADDRESS(ROW(),COLUMN(),4),L!$A:$A,0)-1,SL,,)</f>
        <v>TO BEGIN:</v>
      </c>
      <c r="C2" s="205"/>
      <c r="D2" s="205"/>
      <c r="E2" s="205"/>
      <c r="F2" s="232"/>
      <c r="G2" s="232"/>
      <c r="H2" s="232"/>
      <c r="I2" s="233"/>
      <c r="J2" s="430" t="str">
        <f ca="1">OFFSET(L!$C$1,MATCH("Smelter List"&amp;ADDRESS(ROW(),COLUMN(),4),L!$A:$A,0)-1,SL,,)</f>
        <v>Link to "RMAP Conformant Smelter List"</v>
      </c>
      <c r="K2" s="431"/>
      <c r="L2" s="431"/>
      <c r="M2" s="431"/>
      <c r="N2" s="431"/>
      <c r="O2" s="431"/>
      <c r="P2" s="234"/>
      <c r="Q2" s="235"/>
      <c r="R2" s="236"/>
      <c r="S2" s="236"/>
      <c r="T2" s="236"/>
      <c r="U2" s="267"/>
      <c r="V2" s="267"/>
      <c r="W2" s="268"/>
      <c r="X2" s="267"/>
      <c r="Y2" s="267"/>
      <c r="Z2" s="267"/>
      <c r="AH2" s="176" t="s">
        <v>498</v>
      </c>
    </row>
    <row r="3" spans="1:34" s="269" customFormat="1" ht="243.95" customHeight="1">
      <c r="A3" s="204"/>
      <c r="B3" s="432"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32"/>
      <c r="D3" s="432"/>
      <c r="E3" s="432"/>
      <c r="F3" s="270"/>
      <c r="G3" s="433" t="str">
        <f ca="1">OFFSET(L!$C$1,MATCH("General"&amp;"Cpy",L!$A:$A,0)-1,SL,,)</f>
        <v>© 2020 Responsible Minerals Initiative. All rights reserved.</v>
      </c>
      <c r="H3" s="433"/>
      <c r="I3" s="434"/>
      <c r="J3" s="155"/>
      <c r="K3" s="156"/>
      <c r="L3" s="271"/>
      <c r="M3" s="237"/>
      <c r="N3" s="237"/>
      <c r="O3" s="112"/>
      <c r="P3" s="112"/>
      <c r="Q3" s="238" t="s">
        <v>15505</v>
      </c>
      <c r="R3" s="261"/>
      <c r="S3" s="261"/>
      <c r="T3" s="261"/>
      <c r="U3" s="267"/>
      <c r="V3" s="267"/>
      <c r="W3" s="272" t="s">
        <v>1155</v>
      </c>
      <c r="X3" s="272" t="s">
        <v>1154</v>
      </c>
      <c r="Y3" s="272" t="s">
        <v>1156</v>
      </c>
      <c r="Z3" s="272" t="s">
        <v>1153</v>
      </c>
      <c r="AH3" s="176" t="s">
        <v>499</v>
      </c>
    </row>
    <row r="4" spans="1:34" s="240" customFormat="1" ht="78.75">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27.95" customHeight="1">
      <c r="A5" s="332"/>
      <c r="B5" s="217" t="s">
        <v>1153</v>
      </c>
      <c r="C5" s="221" t="s">
        <v>14129</v>
      </c>
      <c r="D5" s="283"/>
      <c r="E5" s="217" t="str">
        <f ca="1">IF(ISERROR($V5),"",OFFSET('Smelter Look-up'!$D$4,$V5-4,0)&amp;"")</f>
        <v>ITALY</v>
      </c>
      <c r="F5" s="217" t="str">
        <f ca="1">IF(ISERROR($V5),"",OFFSET('Smelter Look-up'!$E$4,$V5-4,0))</f>
        <v>CID002763</v>
      </c>
      <c r="G5" s="217" t="str">
        <f ca="1">IF(C5=$X$4,"Enter smelter details",IF(ISERROR($V5),"",OFFSET('Smelter Look-up'!$F$4,$V5-4,0)))</f>
        <v>RMI</v>
      </c>
      <c r="H5" s="218">
        <f ca="1">IF(ISERROR($V5),"",OFFSET('Smelter Look-up'!$G$4,$V5-4,0))</f>
        <v>0</v>
      </c>
      <c r="I5" s="219" t="str">
        <f ca="1">IF(ISERROR($V5),"",OFFSET('Smelter Look-up'!$H$4,$V5-4,0))</f>
        <v>Pero</v>
      </c>
      <c r="J5" s="219" t="str">
        <f ca="1">IF(ISERROR($V5),"",OFFSET('Smelter Look-up'!$I$4,$V5-4,0))</f>
        <v>Lombardia</v>
      </c>
      <c r="K5" s="273"/>
      <c r="L5" s="273"/>
      <c r="M5" s="273"/>
      <c r="N5" s="273"/>
      <c r="O5" s="273"/>
      <c r="P5" s="220"/>
      <c r="Q5" s="274"/>
      <c r="R5" s="217" t="str">
        <f ca="1">IF(ISERROR($V5),"",OFFSET('Smelter Look-up'!$C$4,$V5-4,0)&amp;"")</f>
        <v>8853 S.p.A.</v>
      </c>
      <c r="S5" s="225" t="str">
        <f t="shared" ref="S5" ca="1" si="0">IF(B5="","",IF(ISERROR(MATCH($E5,CL,0)),"Unknown",INDIRECT("'C'!$A$"&amp;MATCH($E5,CL,0)+1)))</f>
        <v>IT</v>
      </c>
      <c r="T5" s="225" t="str">
        <f ca="1">IF(B5="","",IF(ISERROR(MATCH($J5,SorP!$B$1:$B$6230,0)),"",INDIRECT("'SorP'!$A$"&amp;MATCH($J5,SorP!$B$1:$B$6230,0))))</f>
        <v>IT-25</v>
      </c>
      <c r="U5" s="241"/>
      <c r="V5" s="275">
        <f>IF(C5="",NA(),MATCH($B5&amp;$C5,'Smelter Look-up'!$J:$J,0))</f>
        <v>5</v>
      </c>
      <c r="W5" s="276"/>
      <c r="X5" s="276">
        <f t="shared" ref="X5" ca="1" si="1">IF(AND(C5="Smelter not listed",OR(LEN(D5)=0,LEN(E5)=0)),1,0)</f>
        <v>0</v>
      </c>
      <c r="Y5" s="276"/>
      <c r="Z5" s="276"/>
      <c r="AB5" s="278" t="str">
        <f t="shared" ref="AB5" si="2">B5&amp;C5</f>
        <v>Gold8853 S.p.A.</v>
      </c>
    </row>
    <row r="6" spans="1:34" s="277" customFormat="1" ht="27.95" customHeight="1">
      <c r="A6" s="332"/>
      <c r="B6" s="217" t="s">
        <v>1153</v>
      </c>
      <c r="C6" s="221" t="s">
        <v>2577</v>
      </c>
      <c r="D6" s="283"/>
      <c r="E6" s="217" t="str">
        <f ca="1">IF(ISERROR($V6),"",OFFSET('Smelter Look-up'!$D$4,$V6-4,0)&amp;"")</f>
        <v>UNITED STATES OF AMERICA</v>
      </c>
      <c r="F6" s="217" t="str">
        <f ca="1">IF(ISERROR($V6),"",OFFSET('Smelter Look-up'!$E$4,$V6-4,0))</f>
        <v>CID002708</v>
      </c>
      <c r="G6" s="217" t="str">
        <f ca="1">IF(C6=$X$4,"Enter smelter details",IF(ISERROR($V6),"",OFFSET('Smelter Look-up'!$F$4,$V6-4,0)))</f>
        <v>RMI</v>
      </c>
      <c r="H6" s="218">
        <f ca="1">IF(ISERROR($V6),"",OFFSET('Smelter Look-up'!$G$4,$V6-4,0))</f>
        <v>0</v>
      </c>
      <c r="I6" s="219" t="str">
        <f ca="1">IF(ISERROR($V6),"",OFFSET('Smelter Look-up'!$H$4,$V6-4,0))</f>
        <v>Fairless Hills</v>
      </c>
      <c r="J6" s="219" t="str">
        <f ca="1">IF(ISERROR($V6),"",OFFSET('Smelter Look-up'!$I$4,$V6-4,0))</f>
        <v>Pennsylvania</v>
      </c>
      <c r="K6" s="273"/>
      <c r="L6" s="273"/>
      <c r="M6" s="273"/>
      <c r="N6" s="273"/>
      <c r="O6" s="273"/>
      <c r="P6" s="220"/>
      <c r="Q6" s="274"/>
      <c r="R6" s="217" t="str">
        <f ca="1">IF(ISERROR($V6),"",OFFSET('Smelter Look-up'!$C$4,$V6-4,0)&amp;"")</f>
        <v>Abington Reldan Metals, LLC</v>
      </c>
      <c r="S6" s="225" t="str">
        <f t="shared" ref="S6:S37" ca="1" si="3">IF(B6="","",IF(ISERROR(MATCH($E6,CL,0)),"Unknown",INDIRECT("'C'!$A$"&amp;MATCH($E6,CL,0)+1)))</f>
        <v>US</v>
      </c>
      <c r="T6" s="225" t="str">
        <f ca="1">IF(B6="","",IF(ISERROR(MATCH($J6,SorP!$B$1:$B$6230,0)),"",INDIRECT("'SorP'!$A$"&amp;MATCH($J6,SorP!$B$1:$B$6230,0))))</f>
        <v>US-PA</v>
      </c>
      <c r="U6" s="241"/>
      <c r="V6" s="275">
        <f>IF(C6="",NA(),MATCH($B6&amp;$C6,'Smelter Look-up'!$J:$J,0))</f>
        <v>6</v>
      </c>
      <c r="W6" s="276"/>
      <c r="X6" s="276">
        <f t="shared" ref="X6:X37" ca="1" si="4">IF(AND(C6="Smelter not listed",OR(LEN(D6)=0,LEN(E6)=0)),1,0)</f>
        <v>0</v>
      </c>
      <c r="Y6" s="276"/>
      <c r="Z6" s="276"/>
      <c r="AB6" s="278" t="str">
        <f t="shared" ref="AB6:AB37" si="5">B6&amp;C6</f>
        <v>GoldAbington Reldan Metals, LLC</v>
      </c>
    </row>
    <row r="7" spans="1:34" s="277" customFormat="1" ht="27.95" customHeight="1">
      <c r="A7" s="332"/>
      <c r="B7" s="217" t="s">
        <v>1153</v>
      </c>
      <c r="C7" s="221" t="s">
        <v>1407</v>
      </c>
      <c r="D7" s="283"/>
      <c r="E7" s="217" t="str">
        <f ca="1">IF(ISERROR($V7),"",OFFSET('Smelter Look-up'!$D$4,$V7-4,0)&amp;"")</f>
        <v>UNITED STATES OF AMERICA</v>
      </c>
      <c r="F7" s="217" t="str">
        <f ca="1">IF(ISERROR($V7),"",OFFSET('Smelter Look-up'!$E$4,$V7-4,0))</f>
        <v>CID000015</v>
      </c>
      <c r="G7" s="217" t="str">
        <f ca="1">IF(C7=$X$4,"Enter smelter details",IF(ISERROR($V7),"",OFFSET('Smelter Look-up'!$F$4,$V7-4,0)))</f>
        <v>RMI</v>
      </c>
      <c r="H7" s="218">
        <f ca="1">IF(ISERROR($V7),"",OFFSET('Smelter Look-up'!$G$4,$V7-4,0))</f>
        <v>0</v>
      </c>
      <c r="I7" s="219" t="str">
        <f ca="1">IF(ISERROR($V7),"",OFFSET('Smelter Look-up'!$H$4,$V7-4,0))</f>
        <v>Warwick</v>
      </c>
      <c r="J7" s="219" t="str">
        <f ca="1">IF(ISERROR($V7),"",OFFSET('Smelter Look-up'!$I$4,$V7-4,0))</f>
        <v>Rhode Island</v>
      </c>
      <c r="K7" s="273"/>
      <c r="L7" s="273"/>
      <c r="M7" s="273"/>
      <c r="N7" s="273"/>
      <c r="O7" s="273"/>
      <c r="P7" s="220"/>
      <c r="Q7" s="274"/>
      <c r="R7" s="217" t="str">
        <f ca="1">IF(ISERROR($V7),"",OFFSET('Smelter Look-up'!$C$4,$V7-4,0)&amp;"")</f>
        <v>Advanced Chemical Company</v>
      </c>
      <c r="S7" s="225" t="str">
        <f t="shared" ca="1" si="3"/>
        <v>US</v>
      </c>
      <c r="T7" s="225" t="str">
        <f ca="1">IF(B7="","",IF(ISERROR(MATCH($J7,SorP!$B$1:$B$6230,0)),"",INDIRECT("'SorP'!$A$"&amp;MATCH($J7,SorP!$B$1:$B$6230,0))))</f>
        <v>US-RI</v>
      </c>
      <c r="U7" s="241"/>
      <c r="V7" s="275">
        <f>IF(C7="",NA(),MATCH($B7&amp;$C7,'Smelter Look-up'!$J:$J,0))</f>
        <v>7</v>
      </c>
      <c r="W7" s="276"/>
      <c r="X7" s="276">
        <f t="shared" ca="1" si="4"/>
        <v>0</v>
      </c>
      <c r="Y7" s="276"/>
      <c r="Z7" s="276"/>
      <c r="AB7" s="278" t="str">
        <f t="shared" si="5"/>
        <v>GoldAdvanced Chemical Company</v>
      </c>
    </row>
    <row r="8" spans="1:34" s="277" customFormat="1" ht="27.95" customHeight="1">
      <c r="A8" s="332"/>
      <c r="B8" s="217" t="s">
        <v>1153</v>
      </c>
      <c r="C8" s="221" t="s">
        <v>13249</v>
      </c>
      <c r="D8" s="283"/>
      <c r="E8" s="217" t="str">
        <f ca="1">IF(ISERROR($V8),"",OFFSET('Smelter Look-up'!$D$4,$V8-4,0)&amp;"")</f>
        <v>UGANDA</v>
      </c>
      <c r="F8" s="217" t="str">
        <f ca="1">IF(ISERROR($V8),"",OFFSET('Smelter Look-up'!$E$4,$V8-4,0))</f>
        <v>CID003185</v>
      </c>
      <c r="G8" s="217" t="str">
        <f ca="1">IF(C8=$X$4,"Enter smelter details",IF(ISERROR($V8),"",OFFSET('Smelter Look-up'!$F$4,$V8-4,0)))</f>
        <v>RMI</v>
      </c>
      <c r="H8" s="218">
        <f ca="1">IF(ISERROR($V8),"",OFFSET('Smelter Look-up'!$G$4,$V8-4,0))</f>
        <v>0</v>
      </c>
      <c r="I8" s="219" t="str">
        <f ca="1">IF(ISERROR($V8),"",OFFSET('Smelter Look-up'!$H$4,$V8-4,0))</f>
        <v>Entebbe</v>
      </c>
      <c r="J8" s="219" t="str">
        <f ca="1">IF(ISERROR($V8),"",OFFSET('Smelter Look-up'!$I$4,$V8-4,0))</f>
        <v>Wakiso</v>
      </c>
      <c r="K8" s="273"/>
      <c r="L8" s="273"/>
      <c r="M8" s="273"/>
      <c r="N8" s="273"/>
      <c r="O8" s="273"/>
      <c r="P8" s="220"/>
      <c r="Q8" s="274"/>
      <c r="R8" s="217" t="str">
        <f ca="1">IF(ISERROR($V8),"",OFFSET('Smelter Look-up'!$C$4,$V8-4,0)&amp;"")</f>
        <v>African Gold Refinery</v>
      </c>
      <c r="S8" s="225" t="str">
        <f t="shared" ca="1" si="3"/>
        <v>UG</v>
      </c>
      <c r="T8" s="225" t="str">
        <f ca="1">IF(B8="","",IF(ISERROR(MATCH($J8,SorP!$B$1:$B$6230,0)),"",INDIRECT("'SorP'!$A$"&amp;MATCH($J8,SorP!$B$1:$B$6230,0))))</f>
        <v>UG-113</v>
      </c>
      <c r="U8" s="241"/>
      <c r="V8" s="275">
        <f>IF(C8="",NA(),MATCH($B8&amp;$C8,'Smelter Look-up'!$J:$J,0))</f>
        <v>8</v>
      </c>
      <c r="W8" s="276"/>
      <c r="X8" s="276">
        <f t="shared" ca="1" si="4"/>
        <v>0</v>
      </c>
      <c r="Y8" s="276"/>
      <c r="Z8" s="276"/>
      <c r="AB8" s="278" t="str">
        <f t="shared" si="5"/>
        <v>GoldAfrican Gold Refinery</v>
      </c>
    </row>
    <row r="9" spans="1:34" s="277" customFormat="1" ht="27.95" customHeight="1">
      <c r="A9" s="332"/>
      <c r="B9" s="217" t="s">
        <v>1153</v>
      </c>
      <c r="C9" s="221" t="s">
        <v>2244</v>
      </c>
      <c r="D9" s="283"/>
      <c r="E9" s="217" t="str">
        <f ca="1">IF(ISERROR($V9),"",OFFSET('Smelter Look-up'!$D$4,$V9-4,0)&amp;"")</f>
        <v>JAPAN</v>
      </c>
      <c r="F9" s="217" t="str">
        <f ca="1">IF(ISERROR($V9),"",OFFSET('Smelter Look-up'!$E$4,$V9-4,0))</f>
        <v>CID000019</v>
      </c>
      <c r="G9" s="217" t="str">
        <f ca="1">IF(C9=$X$4,"Enter smelter details",IF(ISERROR($V9),"",OFFSET('Smelter Look-up'!$F$4,$V9-4,0)))</f>
        <v>RMI</v>
      </c>
      <c r="H9" s="218">
        <f ca="1">IF(ISERROR($V9),"",OFFSET('Smelter Look-up'!$G$4,$V9-4,0))</f>
        <v>0</v>
      </c>
      <c r="I9" s="219" t="str">
        <f ca="1">IF(ISERROR($V9),"",OFFSET('Smelter Look-up'!$H$4,$V9-4,0))</f>
        <v>Fuchu</v>
      </c>
      <c r="J9" s="219" t="str">
        <f ca="1">IF(ISERROR($V9),"",OFFSET('Smelter Look-up'!$I$4,$V9-4,0))</f>
        <v>Tokyo</v>
      </c>
      <c r="K9" s="273"/>
      <c r="L9" s="273"/>
      <c r="M9" s="273"/>
      <c r="N9" s="273"/>
      <c r="O9" s="273"/>
      <c r="P9" s="220"/>
      <c r="Q9" s="274"/>
      <c r="R9" s="217" t="str">
        <f ca="1">IF(ISERROR($V9),"",OFFSET('Smelter Look-up'!$C$4,$V9-4,0)&amp;"")</f>
        <v>Aida Chemical Industries Co., Ltd.</v>
      </c>
      <c r="S9" s="225" t="str">
        <f t="shared" ca="1" si="3"/>
        <v>JP</v>
      </c>
      <c r="T9" s="225" t="str">
        <f ca="1">IF(B9="","",IF(ISERROR(MATCH($J9,SorP!$B$1:$B$6230,0)),"",INDIRECT("'SorP'!$A$"&amp;MATCH($J9,SorP!$B$1:$B$6230,0))))</f>
        <v>JP-13</v>
      </c>
      <c r="U9" s="241"/>
      <c r="V9" s="275">
        <f>IF(C9="",NA(),MATCH($B9&amp;$C9,'Smelter Look-up'!$J:$J,0))</f>
        <v>11</v>
      </c>
      <c r="W9" s="276"/>
      <c r="X9" s="276">
        <f t="shared" ca="1" si="4"/>
        <v>0</v>
      </c>
      <c r="Y9" s="276"/>
      <c r="Z9" s="276"/>
      <c r="AB9" s="278" t="str">
        <f t="shared" si="5"/>
        <v>GoldAida Chemical Industries Co., Ltd.</v>
      </c>
    </row>
    <row r="10" spans="1:34" s="277" customFormat="1" ht="27.95" customHeight="1">
      <c r="A10" s="332"/>
      <c r="B10" s="217" t="s">
        <v>1153</v>
      </c>
      <c r="C10" s="221" t="s">
        <v>1737</v>
      </c>
      <c r="D10" s="283"/>
      <c r="E10" s="217" t="str">
        <f ca="1">IF(ISERROR($V10),"",OFFSET('Smelter Look-up'!$D$4,$V10-4,0)&amp;"")</f>
        <v>UNITED ARAB EMIRATES</v>
      </c>
      <c r="F10" s="217" t="str">
        <f ca="1">IF(ISERROR($V10),"",OFFSET('Smelter Look-up'!$E$4,$V10-4,0))</f>
        <v>CID002560</v>
      </c>
      <c r="G10" s="217" t="str">
        <f ca="1">IF(C10=$X$4,"Enter smelter details",IF(ISERROR($V10),"",OFFSET('Smelter Look-up'!$F$4,$V10-4,0)))</f>
        <v>RMI</v>
      </c>
      <c r="H10" s="218">
        <f ca="1">IF(ISERROR($V10),"",OFFSET('Smelter Look-up'!$G$4,$V10-4,0))</f>
        <v>0</v>
      </c>
      <c r="I10" s="219" t="str">
        <f ca="1">IF(ISERROR($V10),"",OFFSET('Smelter Look-up'!$H$4,$V10-4,0))</f>
        <v>Dubai</v>
      </c>
      <c r="J10" s="219" t="str">
        <f ca="1">IF(ISERROR($V10),"",OFFSET('Smelter Look-up'!$I$4,$V10-4,0))</f>
        <v>Dubayy</v>
      </c>
      <c r="K10" s="273"/>
      <c r="L10" s="273"/>
      <c r="M10" s="273"/>
      <c r="N10" s="273"/>
      <c r="O10" s="273"/>
      <c r="P10" s="220"/>
      <c r="Q10" s="274"/>
      <c r="R10" s="217" t="str">
        <f ca="1">IF(ISERROR($V10),"",OFFSET('Smelter Look-up'!$C$4,$V10-4,0)&amp;"")</f>
        <v>Al Etihad Gold Refinery DMCC</v>
      </c>
      <c r="S10" s="225" t="str">
        <f t="shared" ca="1" si="3"/>
        <v>AE</v>
      </c>
      <c r="T10" s="225" t="str">
        <f ca="1">IF(B10="","",IF(ISERROR(MATCH($J10,SorP!$B$1:$B$6230,0)),"",INDIRECT("'SorP'!$A$"&amp;MATCH($J10,SorP!$B$1:$B$6230,0))))</f>
        <v>AE-DU</v>
      </c>
      <c r="U10" s="241"/>
      <c r="V10" s="275">
        <f>IF(C10="",NA(),MATCH($B10&amp;$C10,'Smelter Look-up'!$J:$J,0))</f>
        <v>13</v>
      </c>
      <c r="W10" s="276"/>
      <c r="X10" s="276">
        <f t="shared" ca="1" si="4"/>
        <v>0</v>
      </c>
      <c r="Y10" s="276"/>
      <c r="Z10" s="276"/>
      <c r="AB10" s="278" t="str">
        <f t="shared" si="5"/>
        <v>GoldAl Etihad Gold Refinery DMCC</v>
      </c>
    </row>
    <row r="11" spans="1:34" s="277" customFormat="1" ht="27.95" customHeight="1">
      <c r="A11" s="332"/>
      <c r="B11" s="217" t="s">
        <v>1153</v>
      </c>
      <c r="C11" s="221" t="s">
        <v>54</v>
      </c>
      <c r="D11" s="283"/>
      <c r="E11" s="217" t="str">
        <f ca="1">IF(ISERROR($V11),"",OFFSET('Smelter Look-up'!$D$4,$V11-4,0)&amp;"")</f>
        <v>GERMANY</v>
      </c>
      <c r="F11" s="217" t="str">
        <f ca="1">IF(ISERROR($V11),"",OFFSET('Smelter Look-up'!$E$4,$V11-4,0))</f>
        <v>CID000035</v>
      </c>
      <c r="G11" s="217" t="str">
        <f ca="1">IF(C11=$X$4,"Enter smelter details",IF(ISERROR($V11),"",OFFSET('Smelter Look-up'!$F$4,$V11-4,0)))</f>
        <v>RMI</v>
      </c>
      <c r="H11" s="218">
        <f ca="1">IF(ISERROR($V11),"",OFFSET('Smelter Look-up'!$G$4,$V11-4,0))</f>
        <v>0</v>
      </c>
      <c r="I11" s="219" t="str">
        <f ca="1">IF(ISERROR($V11),"",OFFSET('Smelter Look-up'!$H$4,$V11-4,0))</f>
        <v>Pforzheim</v>
      </c>
      <c r="J11" s="219" t="str">
        <f ca="1">IF(ISERROR($V11),"",OFFSET('Smelter Look-up'!$I$4,$V11-4,0))</f>
        <v>Baden-Württemberg</v>
      </c>
      <c r="K11" s="273"/>
      <c r="L11" s="273"/>
      <c r="M11" s="273"/>
      <c r="N11" s="273"/>
      <c r="O11" s="273"/>
      <c r="P11" s="220"/>
      <c r="Q11" s="274"/>
      <c r="R11" s="217" t="str">
        <f ca="1">IF(ISERROR($V11),"",OFFSET('Smelter Look-up'!$C$4,$V11-4,0)&amp;"")</f>
        <v>Allgemeine Gold-und Silberscheideanstalt A.G.</v>
      </c>
      <c r="S11" s="225" t="str">
        <f t="shared" ca="1" si="3"/>
        <v>DE</v>
      </c>
      <c r="T11" s="225" t="str">
        <f ca="1">IF(B11="","",IF(ISERROR(MATCH($J11,SorP!$B$1:$B$6230,0)),"",INDIRECT("'SorP'!$A$"&amp;MATCH($J11,SorP!$B$1:$B$6230,0))))</f>
        <v>DE-BW</v>
      </c>
      <c r="U11" s="241"/>
      <c r="V11" s="275">
        <f>IF(C11="",NA(),MATCH($B11&amp;$C11,'Smelter Look-up'!$J:$J,0))</f>
        <v>14</v>
      </c>
      <c r="W11" s="276"/>
      <c r="X11" s="276">
        <f t="shared" ca="1" si="4"/>
        <v>0</v>
      </c>
      <c r="Y11" s="276"/>
      <c r="Z11" s="276"/>
      <c r="AB11" s="278" t="str">
        <f t="shared" si="5"/>
        <v>GoldAllgemeine Gold-und Silberscheideanstalt A.G.</v>
      </c>
    </row>
    <row r="12" spans="1:34" s="277" customFormat="1" ht="27.95" customHeight="1">
      <c r="A12" s="332"/>
      <c r="B12" s="217" t="s">
        <v>1153</v>
      </c>
      <c r="C12" s="221" t="s">
        <v>640</v>
      </c>
      <c r="D12" s="283"/>
      <c r="E12" s="217" t="str">
        <f ca="1">IF(ISERROR($V12),"",OFFSET('Smelter Look-up'!$D$4,$V12-4,0)&amp;"")</f>
        <v>UZBEKISTAN</v>
      </c>
      <c r="F12" s="217" t="str">
        <f ca="1">IF(ISERROR($V12),"",OFFSET('Smelter Look-up'!$E$4,$V12-4,0))</f>
        <v>CID000041</v>
      </c>
      <c r="G12" s="217" t="str">
        <f ca="1">IF(C12=$X$4,"Enter smelter details",IF(ISERROR($V12),"",OFFSET('Smelter Look-up'!$F$4,$V12-4,0)))</f>
        <v>RMI</v>
      </c>
      <c r="H12" s="218">
        <f ca="1">IF(ISERROR($V12),"",OFFSET('Smelter Look-up'!$G$4,$V12-4,0))</f>
        <v>0</v>
      </c>
      <c r="I12" s="219" t="str">
        <f ca="1">IF(ISERROR($V12),"",OFFSET('Smelter Look-up'!$H$4,$V12-4,0))</f>
        <v>Almalyk</v>
      </c>
      <c r="J12" s="219" t="str">
        <f ca="1">IF(ISERROR($V12),"",OFFSET('Smelter Look-up'!$I$4,$V12-4,0))</f>
        <v>Toshkent</v>
      </c>
      <c r="K12" s="273"/>
      <c r="L12" s="273"/>
      <c r="M12" s="273"/>
      <c r="N12" s="273"/>
      <c r="O12" s="273"/>
      <c r="P12" s="220"/>
      <c r="Q12" s="274"/>
      <c r="R12" s="217" t="str">
        <f ca="1">IF(ISERROR($V12),"",OFFSET('Smelter Look-up'!$C$4,$V12-4,0)&amp;"")</f>
        <v>Almalyk Mining and Metallurgical Complex (AMMC)</v>
      </c>
      <c r="S12" s="225" t="str">
        <f t="shared" ca="1" si="3"/>
        <v>UZ</v>
      </c>
      <c r="T12" s="225" t="str">
        <f ca="1">IF(B12="","",IF(ISERROR(MATCH($J12,SorP!$B$1:$B$6230,0)),"",INDIRECT("'SorP'!$A$"&amp;MATCH($J12,SorP!$B$1:$B$6230,0))))</f>
        <v>UZ-TK</v>
      </c>
      <c r="U12" s="241"/>
      <c r="V12" s="275">
        <f>IF(C12="",NA(),MATCH($B12&amp;$C12,'Smelter Look-up'!$J:$J,0))</f>
        <v>15</v>
      </c>
      <c r="W12" s="276"/>
      <c r="X12" s="276">
        <f t="shared" ca="1" si="4"/>
        <v>0</v>
      </c>
      <c r="Y12" s="276"/>
      <c r="Z12" s="276"/>
      <c r="AB12" s="278" t="str">
        <f t="shared" si="5"/>
        <v>GoldAlmalyk Mining and Metallurgical Complex (AMMC)</v>
      </c>
    </row>
    <row r="13" spans="1:34" s="277" customFormat="1" ht="27.95" customHeight="1">
      <c r="A13" s="332"/>
      <c r="B13" s="217" t="s">
        <v>1153</v>
      </c>
      <c r="C13" s="221" t="s">
        <v>1575</v>
      </c>
      <c r="D13" s="283"/>
      <c r="E13" s="217" t="str">
        <f ca="1">IF(ISERROR($V13),"",OFFSET('Smelter Look-up'!$D$4,$V13-4,0)&amp;"")</f>
        <v>BRAZIL</v>
      </c>
      <c r="F13" s="217" t="str">
        <f ca="1">IF(ISERROR($V13),"",OFFSET('Smelter Look-up'!$E$4,$V13-4,0))</f>
        <v>CID000058</v>
      </c>
      <c r="G13" s="217" t="str">
        <f ca="1">IF(C13=$X$4,"Enter smelter details",IF(ISERROR($V13),"",OFFSET('Smelter Look-up'!$F$4,$V13-4,0)))</f>
        <v>RMI</v>
      </c>
      <c r="H13" s="218">
        <f ca="1">IF(ISERROR($V13),"",OFFSET('Smelter Look-up'!$G$4,$V13-4,0))</f>
        <v>0</v>
      </c>
      <c r="I13" s="219" t="str">
        <f ca="1">IF(ISERROR($V13),"",OFFSET('Smelter Look-up'!$H$4,$V13-4,0))</f>
        <v>Nova Lima</v>
      </c>
      <c r="J13" s="219" t="str">
        <f ca="1">IF(ISERROR($V13),"",OFFSET('Smelter Look-up'!$I$4,$V13-4,0))</f>
        <v>Minas Gerais</v>
      </c>
      <c r="K13" s="273"/>
      <c r="L13" s="273"/>
      <c r="M13" s="273"/>
      <c r="N13" s="273"/>
      <c r="O13" s="273"/>
      <c r="P13" s="220"/>
      <c r="Q13" s="274"/>
      <c r="R13" s="217" t="str">
        <f ca="1">IF(ISERROR($V13),"",OFFSET('Smelter Look-up'!$C$4,$V13-4,0)&amp;"")</f>
        <v>AngloGold Ashanti Corrego do Sitio Mineracao</v>
      </c>
      <c r="S13" s="225" t="str">
        <f t="shared" ca="1" si="3"/>
        <v>BR</v>
      </c>
      <c r="T13" s="225" t="str">
        <f ca="1">IF(B13="","",IF(ISERROR(MATCH($J13,SorP!$B$1:$B$6230,0)),"",INDIRECT("'SorP'!$A$"&amp;MATCH($J13,SorP!$B$1:$B$6230,0))))</f>
        <v>BR-MG</v>
      </c>
      <c r="U13" s="241"/>
      <c r="V13" s="275">
        <f>IF(C13="",NA(),MATCH($B13&amp;$C13,'Smelter Look-up'!$J:$J,0))</f>
        <v>19</v>
      </c>
      <c r="W13" s="276"/>
      <c r="X13" s="276">
        <f t="shared" ca="1" si="4"/>
        <v>0</v>
      </c>
      <c r="Y13" s="276"/>
      <c r="Z13" s="276"/>
      <c r="AB13" s="278" t="str">
        <f t="shared" si="5"/>
        <v>GoldAngloGold Ashanti Córrego do Sítio Mineração</v>
      </c>
    </row>
    <row r="14" spans="1:34" s="277" customFormat="1" ht="27.95" customHeight="1">
      <c r="A14" s="332"/>
      <c r="B14" s="217" t="s">
        <v>1153</v>
      </c>
      <c r="C14" s="221" t="s">
        <v>2409</v>
      </c>
      <c r="D14" s="283"/>
      <c r="E14" s="217" t="str">
        <f ca="1">IF(ISERROR($V14),"",OFFSET('Smelter Look-up'!$D$4,$V14-4,0)&amp;"")</f>
        <v>SWITZERLAND</v>
      </c>
      <c r="F14" s="217" t="str">
        <f ca="1">IF(ISERROR($V14),"",OFFSET('Smelter Look-up'!$E$4,$V14-4,0))</f>
        <v>CID000077</v>
      </c>
      <c r="G14" s="217" t="str">
        <f ca="1">IF(C14=$X$4,"Enter smelter details",IF(ISERROR($V14),"",OFFSET('Smelter Look-up'!$F$4,$V14-4,0)))</f>
        <v>RMI</v>
      </c>
      <c r="H14" s="218">
        <f ca="1">IF(ISERROR($V14),"",OFFSET('Smelter Look-up'!$G$4,$V14-4,0))</f>
        <v>0</v>
      </c>
      <c r="I14" s="219" t="str">
        <f ca="1">IF(ISERROR($V14),"",OFFSET('Smelter Look-up'!$H$4,$V14-4,0))</f>
        <v>Mendrisio</v>
      </c>
      <c r="J14" s="219" t="str">
        <f ca="1">IF(ISERROR($V14),"",OFFSET('Smelter Look-up'!$I$4,$V14-4,0))</f>
        <v>Ticino</v>
      </c>
      <c r="K14" s="273"/>
      <c r="L14" s="273"/>
      <c r="M14" s="273"/>
      <c r="N14" s="273"/>
      <c r="O14" s="273"/>
      <c r="P14" s="220"/>
      <c r="Q14" s="274"/>
      <c r="R14" s="217" t="str">
        <f ca="1">IF(ISERROR($V14),"",OFFSET('Smelter Look-up'!$C$4,$V14-4,0)&amp;"")</f>
        <v>Argor-Heraeus S.A.</v>
      </c>
      <c r="S14" s="225" t="str">
        <f t="shared" ca="1" si="3"/>
        <v>CH</v>
      </c>
      <c r="T14" s="225" t="str">
        <f ca="1">IF(B14="","",IF(ISERROR(MATCH($J14,SorP!$B$1:$B$6230,0)),"",INDIRECT("'SorP'!$A$"&amp;MATCH($J14,SorP!$B$1:$B$6230,0))))</f>
        <v>CH-TI</v>
      </c>
      <c r="U14" s="241"/>
      <c r="V14" s="275">
        <f>IF(C14="",NA(),MATCH($B14&amp;$C14,'Smelter Look-up'!$J:$J,0))</f>
        <v>23</v>
      </c>
      <c r="W14" s="276"/>
      <c r="X14" s="276">
        <f t="shared" ca="1" si="4"/>
        <v>0</v>
      </c>
      <c r="Y14" s="276"/>
      <c r="Z14" s="276"/>
      <c r="AB14" s="278" t="str">
        <f t="shared" si="5"/>
        <v>GoldArgor-Heraeus S.A.</v>
      </c>
    </row>
    <row r="15" spans="1:34" s="277" customFormat="1" ht="27.95" customHeight="1">
      <c r="A15" s="332"/>
      <c r="B15" s="217" t="s">
        <v>1153</v>
      </c>
      <c r="C15" s="221" t="s">
        <v>2410</v>
      </c>
      <c r="D15" s="283"/>
      <c r="E15" s="217" t="str">
        <f ca="1">IF(ISERROR($V15),"",OFFSET('Smelter Look-up'!$D$4,$V15-4,0)&amp;"")</f>
        <v>JAPAN</v>
      </c>
      <c r="F15" s="217" t="str">
        <f ca="1">IF(ISERROR($V15),"",OFFSET('Smelter Look-up'!$E$4,$V15-4,0))</f>
        <v>CID000082</v>
      </c>
      <c r="G15" s="217" t="str">
        <f ca="1">IF(C15=$X$4,"Enter smelter details",IF(ISERROR($V15),"",OFFSET('Smelter Look-up'!$F$4,$V15-4,0)))</f>
        <v>RMI</v>
      </c>
      <c r="H15" s="218">
        <f ca="1">IF(ISERROR($V15),"",OFFSET('Smelter Look-up'!$G$4,$V15-4,0))</f>
        <v>0</v>
      </c>
      <c r="I15" s="219" t="str">
        <f ca="1">IF(ISERROR($V15),"",OFFSET('Smelter Look-up'!$H$4,$V15-4,0))</f>
        <v>Kobe</v>
      </c>
      <c r="J15" s="219" t="str">
        <f ca="1">IF(ISERROR($V15),"",OFFSET('Smelter Look-up'!$I$4,$V15-4,0))</f>
        <v>Hyogo</v>
      </c>
      <c r="K15" s="273"/>
      <c r="L15" s="273"/>
      <c r="M15" s="273"/>
      <c r="N15" s="273"/>
      <c r="O15" s="273"/>
      <c r="P15" s="220"/>
      <c r="Q15" s="274"/>
      <c r="R15" s="217" t="str">
        <f ca="1">IF(ISERROR($V15),"",OFFSET('Smelter Look-up'!$C$4,$V15-4,0)&amp;"")</f>
        <v>Asahi Pretec Corp.</v>
      </c>
      <c r="S15" s="225" t="str">
        <f t="shared" ca="1" si="3"/>
        <v>JP</v>
      </c>
      <c r="T15" s="225" t="str">
        <f ca="1">IF(B15="","",IF(ISERROR(MATCH($J15,SorP!$B$1:$B$6230,0)),"",INDIRECT("'SorP'!$A$"&amp;MATCH($J15,SorP!$B$1:$B$6230,0))))</f>
        <v>JP-28</v>
      </c>
      <c r="U15" s="241"/>
      <c r="V15" s="275">
        <f>IF(C15="",NA(),MATCH($B15&amp;$C15,'Smelter Look-up'!$J:$J,0))</f>
        <v>24</v>
      </c>
      <c r="W15" s="276"/>
      <c r="X15" s="276">
        <f t="shared" ca="1" si="4"/>
        <v>0</v>
      </c>
      <c r="Y15" s="276"/>
      <c r="Z15" s="276"/>
      <c r="AB15" s="278" t="str">
        <f t="shared" si="5"/>
        <v>GoldAsahi Pretec Corp.</v>
      </c>
    </row>
    <row r="16" spans="1:34" s="277" customFormat="1" ht="27.95" customHeight="1">
      <c r="A16" s="332"/>
      <c r="B16" s="217" t="s">
        <v>1153</v>
      </c>
      <c r="C16" s="221" t="s">
        <v>2411</v>
      </c>
      <c r="D16" s="283"/>
      <c r="E16" s="217" t="str">
        <f ca="1">IF(ISERROR($V16),"",OFFSET('Smelter Look-up'!$D$4,$V16-4,0)&amp;"")</f>
        <v>CANADA</v>
      </c>
      <c r="F16" s="217" t="str">
        <f ca="1">IF(ISERROR($V16),"",OFFSET('Smelter Look-up'!$E$4,$V16-4,0))</f>
        <v>CID000924</v>
      </c>
      <c r="G16" s="217" t="str">
        <f ca="1">IF(C16=$X$4,"Enter smelter details",IF(ISERROR($V16),"",OFFSET('Smelter Look-up'!$F$4,$V16-4,0)))</f>
        <v>RMI</v>
      </c>
      <c r="H16" s="218">
        <f ca="1">IF(ISERROR($V16),"",OFFSET('Smelter Look-up'!$G$4,$V16-4,0))</f>
        <v>0</v>
      </c>
      <c r="I16" s="219" t="str">
        <f ca="1">IF(ISERROR($V16),"",OFFSET('Smelter Look-up'!$H$4,$V16-4,0))</f>
        <v>Brampton</v>
      </c>
      <c r="J16" s="219" t="str">
        <f ca="1">IF(ISERROR($V16),"",OFFSET('Smelter Look-up'!$I$4,$V16-4,0))</f>
        <v>Ontario</v>
      </c>
      <c r="K16" s="273"/>
      <c r="L16" s="273"/>
      <c r="M16" s="273"/>
      <c r="N16" s="273"/>
      <c r="O16" s="273"/>
      <c r="P16" s="220"/>
      <c r="Q16" s="274"/>
      <c r="R16" s="217" t="str">
        <f ca="1">IF(ISERROR($V16),"",OFFSET('Smelter Look-up'!$C$4,$V16-4,0)&amp;"")</f>
        <v>Asahi Refining Canada Ltd.</v>
      </c>
      <c r="S16" s="225" t="str">
        <f t="shared" ca="1" si="3"/>
        <v>CA</v>
      </c>
      <c r="T16" s="225" t="str">
        <f ca="1">IF(B16="","",IF(ISERROR(MATCH($J16,SorP!$B$1:$B$6230,0)),"",INDIRECT("'SorP'!$A$"&amp;MATCH($J16,SorP!$B$1:$B$6230,0))))</f>
        <v>CA-ON</v>
      </c>
      <c r="U16" s="241"/>
      <c r="V16" s="275">
        <f>IF(C16="",NA(),MATCH($B16&amp;$C16,'Smelter Look-up'!$J:$J,0))</f>
        <v>25</v>
      </c>
      <c r="W16" s="276"/>
      <c r="X16" s="276">
        <f t="shared" ca="1" si="4"/>
        <v>0</v>
      </c>
      <c r="Y16" s="276"/>
      <c r="Z16" s="276"/>
      <c r="AB16" s="278" t="str">
        <f t="shared" si="5"/>
        <v>GoldAsahi Refining Canada Ltd.</v>
      </c>
    </row>
    <row r="17" spans="1:28" s="277" customFormat="1" ht="27.95" customHeight="1">
      <c r="A17" s="332"/>
      <c r="B17" s="217" t="s">
        <v>1153</v>
      </c>
      <c r="C17" s="221" t="s">
        <v>2309</v>
      </c>
      <c r="D17" s="283"/>
      <c r="E17" s="217" t="str">
        <f ca="1">IF(ISERROR($V17),"",OFFSET('Smelter Look-up'!$D$4,$V17-4,0)&amp;"")</f>
        <v>UNITED STATES OF AMERICA</v>
      </c>
      <c r="F17" s="217" t="str">
        <f ca="1">IF(ISERROR($V17),"",OFFSET('Smelter Look-up'!$E$4,$V17-4,0))</f>
        <v>CID000920</v>
      </c>
      <c r="G17" s="217" t="str">
        <f ca="1">IF(C17=$X$4,"Enter smelter details",IF(ISERROR($V17),"",OFFSET('Smelter Look-up'!$F$4,$V17-4,0)))</f>
        <v>RMI</v>
      </c>
      <c r="H17" s="218">
        <f ca="1">IF(ISERROR($V17),"",OFFSET('Smelter Look-up'!$G$4,$V17-4,0))</f>
        <v>0</v>
      </c>
      <c r="I17" s="219" t="str">
        <f ca="1">IF(ISERROR($V17),"",OFFSET('Smelter Look-up'!$H$4,$V17-4,0))</f>
        <v>Salt Lake City</v>
      </c>
      <c r="J17" s="219" t="str">
        <f ca="1">IF(ISERROR($V17),"",OFFSET('Smelter Look-up'!$I$4,$V17-4,0))</f>
        <v>Utah</v>
      </c>
      <c r="K17" s="273"/>
      <c r="L17" s="273"/>
      <c r="M17" s="273"/>
      <c r="N17" s="273"/>
      <c r="O17" s="273"/>
      <c r="P17" s="220"/>
      <c r="Q17" s="274"/>
      <c r="R17" s="217" t="str">
        <f ca="1">IF(ISERROR($V17),"",OFFSET('Smelter Look-up'!$C$4,$V17-4,0)&amp;"")</f>
        <v>Asahi Refining USA Inc.</v>
      </c>
      <c r="S17" s="225" t="str">
        <f t="shared" ca="1" si="3"/>
        <v>US</v>
      </c>
      <c r="T17" s="225" t="str">
        <f ca="1">IF(B17="","",IF(ISERROR(MATCH($J17,SorP!$B$1:$B$6230,0)),"",INDIRECT("'SorP'!$A$"&amp;MATCH($J17,SorP!$B$1:$B$6230,0))))</f>
        <v>US-UT</v>
      </c>
      <c r="U17" s="241"/>
      <c r="V17" s="275">
        <f>IF(C17="",NA(),MATCH($B17&amp;$C17,'Smelter Look-up'!$J:$J,0))</f>
        <v>26</v>
      </c>
      <c r="W17" s="276"/>
      <c r="X17" s="276">
        <f t="shared" ca="1" si="4"/>
        <v>0</v>
      </c>
      <c r="Y17" s="276"/>
      <c r="Z17" s="276"/>
      <c r="AB17" s="278" t="str">
        <f t="shared" si="5"/>
        <v>GoldAsahi Refining USA Inc.</v>
      </c>
    </row>
    <row r="18" spans="1:28" s="277" customFormat="1" ht="27.95" customHeight="1">
      <c r="A18" s="216"/>
      <c r="B18" s="217" t="s">
        <v>1153</v>
      </c>
      <c r="C18" s="221" t="s">
        <v>2245</v>
      </c>
      <c r="D18" s="283"/>
      <c r="E18" s="217" t="str">
        <f ca="1">IF(ISERROR($V18),"",OFFSET('Smelter Look-up'!$D$4,$V18-4,0)&amp;"")</f>
        <v>JAPAN</v>
      </c>
      <c r="F18" s="217" t="str">
        <f ca="1">IF(ISERROR($V18),"",OFFSET('Smelter Look-up'!$E$4,$V18-4,0))</f>
        <v>CID000090</v>
      </c>
      <c r="G18" s="217" t="str">
        <f ca="1">IF(C18=$X$4,"Enter smelter details",IF(ISERROR($V18),"",OFFSET('Smelter Look-up'!$F$4,$V18-4,0)))</f>
        <v>RMI</v>
      </c>
      <c r="H18" s="218">
        <f ca="1">IF(ISERROR($V18),"",OFFSET('Smelter Look-up'!$G$4,$V18-4,0))</f>
        <v>0</v>
      </c>
      <c r="I18" s="219" t="str">
        <f ca="1">IF(ISERROR($V18),"",OFFSET('Smelter Look-up'!$H$4,$V18-4,0))</f>
        <v>Tamura</v>
      </c>
      <c r="J18" s="219" t="str">
        <f ca="1">IF(ISERROR($V18),"",OFFSET('Smelter Look-up'!$I$4,$V18-4,0))</f>
        <v>Fukushima</v>
      </c>
      <c r="K18" s="273"/>
      <c r="L18" s="273"/>
      <c r="M18" s="273"/>
      <c r="N18" s="273"/>
      <c r="O18" s="273"/>
      <c r="P18" s="220"/>
      <c r="Q18" s="274"/>
      <c r="R18" s="217" t="str">
        <f ca="1">IF(ISERROR($V18),"",OFFSET('Smelter Look-up'!$C$4,$V18-4,0)&amp;"")</f>
        <v>Asaka Riken Co., Ltd.</v>
      </c>
      <c r="S18" s="225" t="str">
        <f t="shared" ca="1" si="3"/>
        <v>JP</v>
      </c>
      <c r="T18" s="225" t="str">
        <f ca="1">IF(B18="","",IF(ISERROR(MATCH($J18,SorP!$B$1:$B$6230,0)),"",INDIRECT("'SorP'!$A$"&amp;MATCH($J18,SorP!$B$1:$B$6230,0))))</f>
        <v>JP-07</v>
      </c>
      <c r="U18" s="241"/>
      <c r="V18" s="275">
        <f>IF(C18="",NA(),MATCH($B18&amp;$C18,'Smelter Look-up'!$J:$J,0))</f>
        <v>27</v>
      </c>
      <c r="W18" s="276"/>
      <c r="X18" s="276">
        <f t="shared" ca="1" si="4"/>
        <v>0</v>
      </c>
      <c r="Y18" s="276"/>
      <c r="Z18" s="276"/>
      <c r="AB18" s="278" t="str">
        <f t="shared" si="5"/>
        <v>GoldAsaka Riken Co., Ltd.</v>
      </c>
    </row>
    <row r="19" spans="1:28" s="277" customFormat="1" ht="27.95" customHeight="1">
      <c r="A19" s="216"/>
      <c r="B19" s="217" t="s">
        <v>1153</v>
      </c>
      <c r="C19" s="221" t="s">
        <v>641</v>
      </c>
      <c r="D19" s="283"/>
      <c r="E19" s="217" t="str">
        <f ca="1">IF(ISERROR($V19),"",OFFSET('Smelter Look-up'!$D$4,$V19-4,0)&amp;"")</f>
        <v>TURKEY</v>
      </c>
      <c r="F19" s="217" t="str">
        <f ca="1">IF(ISERROR($V19),"",OFFSET('Smelter Look-up'!$E$4,$V19-4,0))</f>
        <v>CID000103</v>
      </c>
      <c r="G19" s="217" t="str">
        <f ca="1">IF(C19=$X$4,"Enter smelter details",IF(ISERROR($V19),"",OFFSET('Smelter Look-up'!$F$4,$V19-4,0)))</f>
        <v>RMI</v>
      </c>
      <c r="H19" s="218">
        <f ca="1">IF(ISERROR($V19),"",OFFSET('Smelter Look-up'!$G$4,$V19-4,0))</f>
        <v>0</v>
      </c>
      <c r="I19" s="219" t="str">
        <f ca="1">IF(ISERROR($V19),"",OFFSET('Smelter Look-up'!$H$4,$V19-4,0))</f>
        <v>Istanbul</v>
      </c>
      <c r="J19" s="219" t="str">
        <f ca="1">IF(ISERROR($V19),"",OFFSET('Smelter Look-up'!$I$4,$V19-4,0))</f>
        <v>İstanbul</v>
      </c>
      <c r="K19" s="273"/>
      <c r="L19" s="273"/>
      <c r="M19" s="273"/>
      <c r="N19" s="273"/>
      <c r="O19" s="273"/>
      <c r="P19" s="220"/>
      <c r="Q19" s="274"/>
      <c r="R19" s="217" t="str">
        <f ca="1">IF(ISERROR($V19),"",OFFSET('Smelter Look-up'!$C$4,$V19-4,0)&amp;"")</f>
        <v>Atasay Kuyumculuk Sanayi Ve Ticaret A.S.</v>
      </c>
      <c r="S19" s="225" t="str">
        <f t="shared" ca="1" si="3"/>
        <v>TR</v>
      </c>
      <c r="T19" s="225" t="str">
        <f ca="1">IF(B19="","",IF(ISERROR(MATCH($J19,SorP!$B$1:$B$6230,0)),"",INDIRECT("'SorP'!$A$"&amp;MATCH($J19,SorP!$B$1:$B$6230,0))))</f>
        <v>TR-34</v>
      </c>
      <c r="U19" s="241"/>
      <c r="V19" s="275">
        <f>IF(C19="",NA(),MATCH($B19&amp;$C19,'Smelter Look-up'!$J:$J,0))</f>
        <v>29</v>
      </c>
      <c r="W19" s="276"/>
      <c r="X19" s="276">
        <f t="shared" ca="1" si="4"/>
        <v>0</v>
      </c>
      <c r="Y19" s="276"/>
      <c r="Z19" s="276"/>
      <c r="AB19" s="278" t="str">
        <f t="shared" si="5"/>
        <v>GoldAtasay Kuyumculuk Sanayi Ve Ticaret A.S.</v>
      </c>
    </row>
    <row r="20" spans="1:28" s="277" customFormat="1" ht="27.95" customHeight="1">
      <c r="A20" s="216"/>
      <c r="B20" s="217" t="s">
        <v>1153</v>
      </c>
      <c r="C20" s="221" t="s">
        <v>2412</v>
      </c>
      <c r="D20" s="283"/>
      <c r="E20" s="217" t="str">
        <f ca="1">IF(ISERROR($V20),"",OFFSET('Smelter Look-up'!$D$4,$V20-4,0)&amp;"")</f>
        <v>SOUTH AFRICA</v>
      </c>
      <c r="F20" s="217" t="str">
        <f ca="1">IF(ISERROR($V20),"",OFFSET('Smelter Look-up'!$E$4,$V20-4,0))</f>
        <v>CID002850</v>
      </c>
      <c r="G20" s="217" t="str">
        <f ca="1">IF(C20=$X$4,"Enter smelter details",IF(ISERROR($V20),"",OFFSET('Smelter Look-up'!$F$4,$V20-4,0)))</f>
        <v>RMI</v>
      </c>
      <c r="H20" s="218">
        <f ca="1">IF(ISERROR($V20),"",OFFSET('Smelter Look-up'!$G$4,$V20-4,0))</f>
        <v>0</v>
      </c>
      <c r="I20" s="219" t="str">
        <f ca="1">IF(ISERROR($V20),"",OFFSET('Smelter Look-up'!$H$4,$V20-4,0))</f>
        <v>Johannesburg</v>
      </c>
      <c r="J20" s="219" t="str">
        <f ca="1">IF(ISERROR($V20),"",OFFSET('Smelter Look-up'!$I$4,$V20-4,0))</f>
        <v>Gauteng</v>
      </c>
      <c r="K20" s="273"/>
      <c r="L20" s="273"/>
      <c r="M20" s="273"/>
      <c r="N20" s="273"/>
      <c r="O20" s="273"/>
      <c r="P20" s="220"/>
      <c r="Q20" s="274"/>
      <c r="R20" s="217" t="str">
        <f ca="1">IF(ISERROR($V20),"",OFFSET('Smelter Look-up'!$C$4,$V20-4,0)&amp;"")</f>
        <v>AU Traders and Refiners</v>
      </c>
      <c r="S20" s="225" t="str">
        <f t="shared" ca="1" si="3"/>
        <v>ZA</v>
      </c>
      <c r="T20" s="225" t="str">
        <f ca="1">IF(B20="","",IF(ISERROR(MATCH($J20,SorP!$B$1:$B$6230,0)),"",INDIRECT("'SorP'!$A$"&amp;MATCH($J20,SorP!$B$1:$B$6230,0))))</f>
        <v>ZA-GT</v>
      </c>
      <c r="U20" s="241"/>
      <c r="V20" s="275">
        <f>IF(C20="",NA(),MATCH($B20&amp;$C20,'Smelter Look-up'!$J:$J,0))</f>
        <v>30</v>
      </c>
      <c r="W20" s="276"/>
      <c r="X20" s="276">
        <f t="shared" ca="1" si="4"/>
        <v>0</v>
      </c>
      <c r="Y20" s="276"/>
      <c r="Z20" s="276"/>
      <c r="AB20" s="278" t="str">
        <f t="shared" si="5"/>
        <v>GoldAU Traders and Refiners</v>
      </c>
    </row>
    <row r="21" spans="1:28" s="277" customFormat="1" ht="27.95" customHeight="1">
      <c r="A21" s="216"/>
      <c r="B21" s="217" t="s">
        <v>1153</v>
      </c>
      <c r="C21" s="221" t="s">
        <v>1247</v>
      </c>
      <c r="D21" s="283"/>
      <c r="E21" s="217" t="str">
        <f ca="1">IF(ISERROR($V21),"",OFFSET('Smelter Look-up'!$D$4,$V21-4,0)&amp;"")</f>
        <v>GERMANY</v>
      </c>
      <c r="F21" s="217" t="str">
        <f ca="1">IF(ISERROR($V21),"",OFFSET('Smelter Look-up'!$E$4,$V21-4,0))</f>
        <v>CID000113</v>
      </c>
      <c r="G21" s="217" t="str">
        <f ca="1">IF(C21=$X$4,"Enter smelter details",IF(ISERROR($V21),"",OFFSET('Smelter Look-up'!$F$4,$V21-4,0)))</f>
        <v>RMI</v>
      </c>
      <c r="H21" s="218">
        <f ca="1">IF(ISERROR($V21),"",OFFSET('Smelter Look-up'!$G$4,$V21-4,0))</f>
        <v>0</v>
      </c>
      <c r="I21" s="219" t="str">
        <f ca="1">IF(ISERROR($V21),"",OFFSET('Smelter Look-up'!$H$4,$V21-4,0))</f>
        <v>Hamburg</v>
      </c>
      <c r="J21" s="219" t="str">
        <f ca="1">IF(ISERROR($V21),"",OFFSET('Smelter Look-up'!$I$4,$V21-4,0))</f>
        <v>Hamburg</v>
      </c>
      <c r="K21" s="273"/>
      <c r="L21" s="273"/>
      <c r="M21" s="273"/>
      <c r="N21" s="273"/>
      <c r="O21" s="273"/>
      <c r="P21" s="220"/>
      <c r="Q21" s="274"/>
      <c r="R21" s="217" t="str">
        <f ca="1">IF(ISERROR($V21),"",OFFSET('Smelter Look-up'!$C$4,$V21-4,0)&amp;"")</f>
        <v>Aurubis AG</v>
      </c>
      <c r="S21" s="225" t="str">
        <f t="shared" ca="1" si="3"/>
        <v>DE</v>
      </c>
      <c r="T21" s="225" t="str">
        <f ca="1">IF(B21="","",IF(ISERROR(MATCH($J21,SorP!$B$1:$B$6230,0)),"",INDIRECT("'SorP'!$A$"&amp;MATCH($J21,SorP!$B$1:$B$6230,0))))</f>
        <v>DE-HH</v>
      </c>
      <c r="U21" s="241"/>
      <c r="V21" s="275">
        <f>IF(C21="",NA(),MATCH($B21&amp;$C21,'Smelter Look-up'!$J:$J,0))</f>
        <v>32</v>
      </c>
      <c r="W21" s="276"/>
      <c r="X21" s="276">
        <f t="shared" ca="1" si="4"/>
        <v>0</v>
      </c>
      <c r="Y21" s="276"/>
      <c r="Z21" s="276"/>
      <c r="AB21" s="278" t="str">
        <f t="shared" si="5"/>
        <v>GoldAurubis AG</v>
      </c>
    </row>
    <row r="22" spans="1:28" s="277" customFormat="1" ht="27.95" customHeight="1">
      <c r="A22" s="216"/>
      <c r="B22" s="217" t="s">
        <v>1153</v>
      </c>
      <c r="C22" s="221" t="s">
        <v>2416</v>
      </c>
      <c r="D22" s="283"/>
      <c r="E22" s="217" t="str">
        <f ca="1">IF(ISERROR($V22),"",OFFSET('Smelter Look-up'!$D$4,$V22-4,0)&amp;"")</f>
        <v>INDIA</v>
      </c>
      <c r="F22" s="217" t="str">
        <f ca="1">IF(ISERROR($V22),"",OFFSET('Smelter Look-up'!$E$4,$V22-4,0))</f>
        <v>CID002863</v>
      </c>
      <c r="G22" s="217" t="str">
        <f ca="1">IF(C22=$X$4,"Enter smelter details",IF(ISERROR($V22),"",OFFSET('Smelter Look-up'!$F$4,$V22-4,0)))</f>
        <v>RMI</v>
      </c>
      <c r="H22" s="218">
        <f ca="1">IF(ISERROR($V22),"",OFFSET('Smelter Look-up'!$G$4,$V22-4,0))</f>
        <v>0</v>
      </c>
      <c r="I22" s="219" t="str">
        <f ca="1">IF(ISERROR($V22),"",OFFSET('Smelter Look-up'!$H$4,$V22-4,0))</f>
        <v>Bangalore</v>
      </c>
      <c r="J22" s="219" t="str">
        <f ca="1">IF(ISERROR($V22),"",OFFSET('Smelter Look-up'!$I$4,$V22-4,0))</f>
        <v>Karnataka</v>
      </c>
      <c r="K22" s="273"/>
      <c r="L22" s="273"/>
      <c r="M22" s="273"/>
      <c r="N22" s="273"/>
      <c r="O22" s="273"/>
      <c r="P22" s="220"/>
      <c r="Q22" s="274"/>
      <c r="R22" s="217" t="str">
        <f ca="1">IF(ISERROR($V22),"",OFFSET('Smelter Look-up'!$C$4,$V22-4,0)&amp;"")</f>
        <v>Bangalore Refinery</v>
      </c>
      <c r="S22" s="225" t="str">
        <f t="shared" ca="1" si="3"/>
        <v>IN</v>
      </c>
      <c r="T22" s="225" t="str">
        <f ca="1">IF(B22="","",IF(ISERROR(MATCH($J22,SorP!$B$1:$B$6230,0)),"",INDIRECT("'SorP'!$A$"&amp;MATCH($J22,SorP!$B$1:$B$6230,0))))</f>
        <v>IN-KA</v>
      </c>
      <c r="U22" s="241"/>
      <c r="V22" s="275">
        <f>IF(C22="",NA(),MATCH($B22&amp;$C22,'Smelter Look-up'!$J:$J,0))</f>
        <v>34</v>
      </c>
      <c r="W22" s="276"/>
      <c r="X22" s="276">
        <f t="shared" ca="1" si="4"/>
        <v>0</v>
      </c>
      <c r="Y22" s="276"/>
      <c r="Z22" s="276"/>
      <c r="AB22" s="278" t="str">
        <f t="shared" si="5"/>
        <v>GoldBangalore Refinery</v>
      </c>
    </row>
    <row r="23" spans="1:28" s="277" customFormat="1" ht="27.95" customHeight="1">
      <c r="A23" s="216"/>
      <c r="B23" s="217" t="s">
        <v>1153</v>
      </c>
      <c r="C23" s="221" t="s">
        <v>927</v>
      </c>
      <c r="D23" s="283"/>
      <c r="E23" s="217" t="str">
        <f ca="1">IF(ISERROR($V23),"",OFFSET('Smelter Look-up'!$D$4,$V23-4,0)&amp;"")</f>
        <v>PHILIPPINES</v>
      </c>
      <c r="F23" s="217" t="str">
        <f ca="1">IF(ISERROR($V23),"",OFFSET('Smelter Look-up'!$E$4,$V23-4,0))</f>
        <v>CID000128</v>
      </c>
      <c r="G23" s="217" t="str">
        <f ca="1">IF(C23=$X$4,"Enter smelter details",IF(ISERROR($V23),"",OFFSET('Smelter Look-up'!$F$4,$V23-4,0)))</f>
        <v>RMI</v>
      </c>
      <c r="H23" s="218">
        <f ca="1">IF(ISERROR($V23),"",OFFSET('Smelter Look-up'!$G$4,$V23-4,0))</f>
        <v>0</v>
      </c>
      <c r="I23" s="219" t="str">
        <f ca="1">IF(ISERROR($V23),"",OFFSET('Smelter Look-up'!$H$4,$V23-4,0))</f>
        <v>Quezon City</v>
      </c>
      <c r="J23" s="219" t="str">
        <f ca="1">IF(ISERROR($V23),"",OFFSET('Smelter Look-up'!$I$4,$V23-4,0))</f>
        <v>Rizal</v>
      </c>
      <c r="K23" s="273"/>
      <c r="L23" s="273"/>
      <c r="M23" s="273"/>
      <c r="N23" s="273"/>
      <c r="O23" s="273"/>
      <c r="P23" s="220"/>
      <c r="Q23" s="274"/>
      <c r="R23" s="217" t="str">
        <f ca="1">IF(ISERROR($V23),"",OFFSET('Smelter Look-up'!$C$4,$V23-4,0)&amp;"")</f>
        <v>Bangko Sentral ng Pilipinas (Central Bank of the Philippines)</v>
      </c>
      <c r="S23" s="225" t="str">
        <f t="shared" ca="1" si="3"/>
        <v>PH</v>
      </c>
      <c r="T23" s="225" t="str">
        <f ca="1">IF(B23="","",IF(ISERROR(MATCH($J23,SorP!$B$1:$B$6230,0)),"",INDIRECT("'SorP'!$A$"&amp;MATCH($J23,SorP!$B$1:$B$6230,0))))</f>
        <v>PH-RIZ</v>
      </c>
      <c r="U23" s="241"/>
      <c r="V23" s="275">
        <f>IF(C23="",NA(),MATCH($B23&amp;$C23,'Smelter Look-up'!$J:$J,0))</f>
        <v>36</v>
      </c>
      <c r="W23" s="276"/>
      <c r="X23" s="276">
        <f t="shared" ca="1" si="4"/>
        <v>0</v>
      </c>
      <c r="Y23" s="276"/>
      <c r="Z23" s="276"/>
      <c r="AB23" s="278" t="str">
        <f t="shared" si="5"/>
        <v>GoldBangko Sentral ng Pilipinas (Central Bank of the Philippines)</v>
      </c>
    </row>
    <row r="24" spans="1:28" s="277" customFormat="1" ht="27.95" customHeight="1">
      <c r="A24" s="216"/>
      <c r="B24" s="217" t="s">
        <v>1153</v>
      </c>
      <c r="C24" s="221" t="s">
        <v>1249</v>
      </c>
      <c r="D24" s="283"/>
      <c r="E24" s="217" t="str">
        <f ca="1">IF(ISERROR($V24),"",OFFSET('Smelter Look-up'!$D$4,$V24-4,0)&amp;"")</f>
        <v>SWEDEN</v>
      </c>
      <c r="F24" s="217" t="str">
        <f ca="1">IF(ISERROR($V24),"",OFFSET('Smelter Look-up'!$E$4,$V24-4,0))</f>
        <v>CID000157</v>
      </c>
      <c r="G24" s="217" t="str">
        <f ca="1">IF(C24=$X$4,"Enter smelter details",IF(ISERROR($V24),"",OFFSET('Smelter Look-up'!$F$4,$V24-4,0)))</f>
        <v>RMI</v>
      </c>
      <c r="H24" s="218">
        <f ca="1">IF(ISERROR($V24),"",OFFSET('Smelter Look-up'!$G$4,$V24-4,0))</f>
        <v>0</v>
      </c>
      <c r="I24" s="219" t="str">
        <f ca="1">IF(ISERROR($V24),"",OFFSET('Smelter Look-up'!$H$4,$V24-4,0))</f>
        <v>Skelleftehamn</v>
      </c>
      <c r="J24" s="219" t="str">
        <f ca="1">IF(ISERROR($V24),"",OFFSET('Smelter Look-up'!$I$4,$V24-4,0))</f>
        <v>Västerbottens län [SE-24]</v>
      </c>
      <c r="K24" s="273"/>
      <c r="L24" s="273"/>
      <c r="M24" s="273"/>
      <c r="N24" s="273"/>
      <c r="O24" s="273"/>
      <c r="P24" s="220"/>
      <c r="Q24" s="274"/>
      <c r="R24" s="217" t="str">
        <f ca="1">IF(ISERROR($V24),"",OFFSET('Smelter Look-up'!$C$4,$V24-4,0)&amp;"")</f>
        <v>Boliden AB</v>
      </c>
      <c r="S24" s="225" t="str">
        <f t="shared" ca="1" si="3"/>
        <v>SE</v>
      </c>
      <c r="T24" s="225" t="str">
        <f ca="1">IF(B24="","",IF(ISERROR(MATCH($J24,SorP!$B$1:$B$6230,0)),"",INDIRECT("'SorP'!$A$"&amp;MATCH($J24,SorP!$B$1:$B$6230,0))))</f>
        <v>SE-AC</v>
      </c>
      <c r="U24" s="241"/>
      <c r="V24" s="275">
        <f>IF(C24="",NA(),MATCH($B24&amp;$C24,'Smelter Look-up'!$J:$J,0))</f>
        <v>37</v>
      </c>
      <c r="W24" s="276"/>
      <c r="X24" s="276">
        <f t="shared" ca="1" si="4"/>
        <v>0</v>
      </c>
      <c r="Y24" s="276"/>
      <c r="Z24" s="276"/>
      <c r="AB24" s="278" t="str">
        <f t="shared" si="5"/>
        <v>GoldBoliden AB</v>
      </c>
    </row>
    <row r="25" spans="1:28" s="277" customFormat="1" ht="27.95" customHeight="1">
      <c r="A25" s="216"/>
      <c r="B25" s="217" t="s">
        <v>1153</v>
      </c>
      <c r="C25" s="221" t="s">
        <v>677</v>
      </c>
      <c r="D25" s="283"/>
      <c r="E25" s="217" t="str">
        <f ca="1">IF(ISERROR($V25),"",OFFSET('Smelter Look-up'!$D$4,$V25-4,0)&amp;"")</f>
        <v>GERMANY</v>
      </c>
      <c r="F25" s="217" t="str">
        <f ca="1">IF(ISERROR($V25),"",OFFSET('Smelter Look-up'!$E$4,$V25-4,0))</f>
        <v>CID000176</v>
      </c>
      <c r="G25" s="217" t="str">
        <f ca="1">IF(C25=$X$4,"Enter smelter details",IF(ISERROR($V25),"",OFFSET('Smelter Look-up'!$F$4,$V25-4,0)))</f>
        <v>RMI</v>
      </c>
      <c r="H25" s="218">
        <f ca="1">IF(ISERROR($V25),"",OFFSET('Smelter Look-up'!$G$4,$V25-4,0))</f>
        <v>0</v>
      </c>
      <c r="I25" s="219" t="str">
        <f ca="1">IF(ISERROR($V25),"",OFFSET('Smelter Look-up'!$H$4,$V25-4,0))</f>
        <v>Pforzheim</v>
      </c>
      <c r="J25" s="219" t="str">
        <f ca="1">IF(ISERROR($V25),"",OFFSET('Smelter Look-up'!$I$4,$V25-4,0))</f>
        <v>Baden-Württemberg</v>
      </c>
      <c r="K25" s="273"/>
      <c r="L25" s="273"/>
      <c r="M25" s="273"/>
      <c r="N25" s="273"/>
      <c r="O25" s="273"/>
      <c r="P25" s="220"/>
      <c r="Q25" s="274"/>
      <c r="R25" s="217" t="str">
        <f ca="1">IF(ISERROR($V25),"",OFFSET('Smelter Look-up'!$C$4,$V25-4,0)&amp;"")</f>
        <v>C. Hafner GmbH + Co. KG</v>
      </c>
      <c r="S25" s="225" t="str">
        <f t="shared" ca="1" si="3"/>
        <v>DE</v>
      </c>
      <c r="T25" s="225" t="str">
        <f ca="1">IF(B25="","",IF(ISERROR(MATCH($J25,SorP!$B$1:$B$6230,0)),"",INDIRECT("'SorP'!$A$"&amp;MATCH($J25,SorP!$B$1:$B$6230,0))))</f>
        <v>DE-BW</v>
      </c>
      <c r="U25" s="241"/>
      <c r="V25" s="275">
        <f>IF(C25="",NA(),MATCH($B25&amp;$C25,'Smelter Look-up'!$J:$J,0))</f>
        <v>38</v>
      </c>
      <c r="W25" s="276"/>
      <c r="X25" s="276">
        <f t="shared" ca="1" si="4"/>
        <v>0</v>
      </c>
      <c r="Y25" s="276"/>
      <c r="Z25" s="276"/>
      <c r="AB25" s="278" t="str">
        <f t="shared" si="5"/>
        <v>GoldC. Hafner GmbH + Co. KG</v>
      </c>
    </row>
    <row r="26" spans="1:28" s="277" customFormat="1" ht="27.95" customHeight="1">
      <c r="A26" s="216"/>
      <c r="B26" s="217" t="s">
        <v>1153</v>
      </c>
      <c r="C26" s="221" t="s">
        <v>14206</v>
      </c>
      <c r="D26" s="283"/>
      <c r="E26" s="217" t="str">
        <f ca="1">IF(ISERROR($V26),"",OFFSET('Smelter Look-up'!$D$4,$V26-4,0)&amp;"")</f>
        <v>COLOMBIA</v>
      </c>
      <c r="F26" s="217" t="str">
        <f ca="1">IF(ISERROR($V26),"",OFFSET('Smelter Look-up'!$E$4,$V26-4,0))</f>
        <v>CID003421</v>
      </c>
      <c r="G26" s="217" t="str">
        <f ca="1">IF(C26=$X$4,"Enter smelter details",IF(ISERROR($V26),"",OFFSET('Smelter Look-up'!$F$4,$V26-4,0)))</f>
        <v>RMI</v>
      </c>
      <c r="H26" s="218">
        <f ca="1">IF(ISERROR($V26),"",OFFSET('Smelter Look-up'!$G$4,$V26-4,0))</f>
        <v>0</v>
      </c>
      <c r="I26" s="219" t="str">
        <f ca="1">IF(ISERROR($V26),"",OFFSET('Smelter Look-up'!$H$4,$V26-4,0))</f>
        <v>Cota</v>
      </c>
      <c r="J26" s="219" t="str">
        <f ca="1">IF(ISERROR($V26),"",OFFSET('Smelter Look-up'!$I$4,$V26-4,0))</f>
        <v>Cundinamarca</v>
      </c>
      <c r="K26" s="273"/>
      <c r="L26" s="273"/>
      <c r="M26" s="273"/>
      <c r="N26" s="273"/>
      <c r="O26" s="273"/>
      <c r="P26" s="220"/>
      <c r="Q26" s="274"/>
      <c r="R26" s="217" t="str">
        <f ca="1">IF(ISERROR($V26),"",OFFSET('Smelter Look-up'!$C$4,$V26-4,0)&amp;"")</f>
        <v>C.I Metales Procesados Industriales SAS</v>
      </c>
      <c r="S26" s="225" t="str">
        <f t="shared" ca="1" si="3"/>
        <v>CO</v>
      </c>
      <c r="T26" s="225" t="str">
        <f ca="1">IF(B26="","",IF(ISERROR(MATCH($J26,SorP!$B$1:$B$6230,0)),"",INDIRECT("'SorP'!$A$"&amp;MATCH($J26,SorP!$B$1:$B$6230,0))))</f>
        <v>CO-CUN</v>
      </c>
      <c r="U26" s="241"/>
      <c r="V26" s="275">
        <f>IF(C26="",NA(),MATCH($B26&amp;$C26,'Smelter Look-up'!$J:$J,0))</f>
        <v>39</v>
      </c>
      <c r="W26" s="276"/>
      <c r="X26" s="276">
        <f t="shared" ca="1" si="4"/>
        <v>0</v>
      </c>
      <c r="Y26" s="276"/>
      <c r="Z26" s="276"/>
      <c r="AB26" s="278" t="str">
        <f t="shared" si="5"/>
        <v>GoldC.I Metales Procesados Industriales SAS</v>
      </c>
    </row>
    <row r="27" spans="1:28" s="277" customFormat="1" ht="27.95" customHeight="1">
      <c r="A27" s="216"/>
      <c r="B27" s="217" t="s">
        <v>1153</v>
      </c>
      <c r="C27" s="221" t="s">
        <v>928</v>
      </c>
      <c r="D27" s="283"/>
      <c r="E27" s="217" t="str">
        <f ca="1">IF(ISERROR($V27),"",OFFSET('Smelter Look-up'!$D$4,$V27-4,0)&amp;"")</f>
        <v>MEXICO</v>
      </c>
      <c r="F27" s="217" t="str">
        <f ca="1">IF(ISERROR($V27),"",OFFSET('Smelter Look-up'!$E$4,$V27-4,0))</f>
        <v>CID000180</v>
      </c>
      <c r="G27" s="217" t="str">
        <f ca="1">IF(C27=$X$4,"Enter smelter details",IF(ISERROR($V27),"",OFFSET('Smelter Look-up'!$F$4,$V27-4,0)))</f>
        <v>RMI</v>
      </c>
      <c r="H27" s="218">
        <f ca="1">IF(ISERROR($V27),"",OFFSET('Smelter Look-up'!$G$4,$V27-4,0))</f>
        <v>0</v>
      </c>
      <c r="I27" s="219" t="str">
        <f ca="1">IF(ISERROR($V27),"",OFFSET('Smelter Look-up'!$H$4,$V27-4,0))</f>
        <v>Nacozari</v>
      </c>
      <c r="J27" s="219" t="str">
        <f ca="1">IF(ISERROR($V27),"",OFFSET('Smelter Look-up'!$I$4,$V27-4,0))</f>
        <v>Sonora</v>
      </c>
      <c r="K27" s="273"/>
      <c r="L27" s="273"/>
      <c r="M27" s="273"/>
      <c r="N27" s="273"/>
      <c r="O27" s="273"/>
      <c r="P27" s="220"/>
      <c r="Q27" s="274"/>
      <c r="R27" s="217" t="str">
        <f ca="1">IF(ISERROR($V27),"",OFFSET('Smelter Look-up'!$C$4,$V27-4,0)&amp;"")</f>
        <v>Caridad</v>
      </c>
      <c r="S27" s="225" t="str">
        <f t="shared" ca="1" si="3"/>
        <v>MX</v>
      </c>
      <c r="T27" s="225" t="str">
        <f ca="1">IF(B27="","",IF(ISERROR(MATCH($J27,SorP!$B$1:$B$6230,0)),"",INDIRECT("'SorP'!$A$"&amp;MATCH($J27,SorP!$B$1:$B$6230,0))))</f>
        <v>MX-SON</v>
      </c>
      <c r="U27" s="241"/>
      <c r="V27" s="275">
        <f>IF(C27="",NA(),MATCH($B27&amp;$C27,'Smelter Look-up'!$J:$J,0))</f>
        <v>40</v>
      </c>
      <c r="W27" s="276"/>
      <c r="X27" s="276">
        <f t="shared" ca="1" si="4"/>
        <v>0</v>
      </c>
      <c r="Y27" s="276"/>
      <c r="Z27" s="276"/>
      <c r="AB27" s="278" t="str">
        <f t="shared" si="5"/>
        <v>GoldCaridad</v>
      </c>
    </row>
    <row r="28" spans="1:28" s="277" customFormat="1" ht="27.95" customHeight="1">
      <c r="A28" s="216"/>
      <c r="B28" s="217" t="s">
        <v>1153</v>
      </c>
      <c r="C28" s="221" t="s">
        <v>2352</v>
      </c>
      <c r="D28" s="283"/>
      <c r="E28" s="217" t="str">
        <f ca="1">IF(ISERROR($V28),"",OFFSET('Smelter Look-up'!$D$4,$V28-4,0)&amp;"")</f>
        <v>CANADA</v>
      </c>
      <c r="F28" s="217" t="str">
        <f ca="1">IF(ISERROR($V28),"",OFFSET('Smelter Look-up'!$E$4,$V28-4,0))</f>
        <v>CID000185</v>
      </c>
      <c r="G28" s="217" t="str">
        <f ca="1">IF(C28=$X$4,"Enter smelter details",IF(ISERROR($V28),"",OFFSET('Smelter Look-up'!$F$4,$V28-4,0)))</f>
        <v>RMI</v>
      </c>
      <c r="H28" s="218">
        <f ca="1">IF(ISERROR($V28),"",OFFSET('Smelter Look-up'!$G$4,$V28-4,0))</f>
        <v>0</v>
      </c>
      <c r="I28" s="219" t="str">
        <f ca="1">IF(ISERROR($V28),"",OFFSET('Smelter Look-up'!$H$4,$V28-4,0))</f>
        <v>Montréal</v>
      </c>
      <c r="J28" s="219" t="str">
        <f ca="1">IF(ISERROR($V28),"",OFFSET('Smelter Look-up'!$I$4,$V28-4,0))</f>
        <v>Quebec</v>
      </c>
      <c r="K28" s="273"/>
      <c r="L28" s="273"/>
      <c r="M28" s="273"/>
      <c r="N28" s="273"/>
      <c r="O28" s="273"/>
      <c r="P28" s="220"/>
      <c r="Q28" s="274"/>
      <c r="R28" s="217" t="str">
        <f ca="1">IF(ISERROR($V28),"",OFFSET('Smelter Look-up'!$C$4,$V28-4,0)&amp;"")</f>
        <v>CCR Refinery - Glencore Canada Corporation</v>
      </c>
      <c r="S28" s="225" t="str">
        <f t="shared" ca="1" si="3"/>
        <v>CA</v>
      </c>
      <c r="T28" s="225" t="str">
        <f ca="1">IF(B28="","",IF(ISERROR(MATCH($J28,SorP!$B$1:$B$6230,0)),"",INDIRECT("'SorP'!$A$"&amp;MATCH($J28,SorP!$B$1:$B$6230,0))))</f>
        <v>CA-QC</v>
      </c>
      <c r="U28" s="241"/>
      <c r="V28" s="275">
        <f>IF(C28="",NA(),MATCH($B28&amp;$C28,'Smelter Look-up'!$J:$J,0))</f>
        <v>43</v>
      </c>
      <c r="W28" s="276"/>
      <c r="X28" s="276">
        <f t="shared" ca="1" si="4"/>
        <v>0</v>
      </c>
      <c r="Y28" s="276"/>
      <c r="Z28" s="276"/>
      <c r="AB28" s="278" t="str">
        <f t="shared" si="5"/>
        <v>GoldCCR Refinery - Glencore Canada Corporation</v>
      </c>
    </row>
    <row r="29" spans="1:28" s="277" customFormat="1" ht="27.95" customHeight="1">
      <c r="A29" s="216"/>
      <c r="B29" s="217" t="s">
        <v>1153</v>
      </c>
      <c r="C29" s="221" t="s">
        <v>2419</v>
      </c>
      <c r="D29" s="283"/>
      <c r="E29" s="217" t="str">
        <f ca="1">IF(ISERROR($V29),"",OFFSET('Smelter Look-up'!$D$4,$V29-4,0)&amp;"")</f>
        <v>SWITZERLAND</v>
      </c>
      <c r="F29" s="217" t="str">
        <f ca="1">IF(ISERROR($V29),"",OFFSET('Smelter Look-up'!$E$4,$V29-4,0))</f>
        <v>CID000189</v>
      </c>
      <c r="G29" s="217" t="str">
        <f ca="1">IF(C29=$X$4,"Enter smelter details",IF(ISERROR($V29),"",OFFSET('Smelter Look-up'!$F$4,$V29-4,0)))</f>
        <v>RMI</v>
      </c>
      <c r="H29" s="218">
        <f ca="1">IF(ISERROR($V29),"",OFFSET('Smelter Look-up'!$G$4,$V29-4,0))</f>
        <v>0</v>
      </c>
      <c r="I29" s="219" t="str">
        <f ca="1">IF(ISERROR($V29),"",OFFSET('Smelter Look-up'!$H$4,$V29-4,0))</f>
        <v>Biel-Bienne</v>
      </c>
      <c r="J29" s="219" t="str">
        <f ca="1">IF(ISERROR($V29),"",OFFSET('Smelter Look-up'!$I$4,$V29-4,0))</f>
        <v>Bern</v>
      </c>
      <c r="K29" s="273"/>
      <c r="L29" s="273"/>
      <c r="M29" s="273"/>
      <c r="N29" s="273"/>
      <c r="O29" s="273"/>
      <c r="P29" s="220"/>
      <c r="Q29" s="274"/>
      <c r="R29" s="217" t="str">
        <f ca="1">IF(ISERROR($V29),"",OFFSET('Smelter Look-up'!$C$4,$V29-4,0)&amp;"")</f>
        <v>Cendres + Metaux S.A.</v>
      </c>
      <c r="S29" s="225" t="str">
        <f t="shared" ca="1" si="3"/>
        <v>CH</v>
      </c>
      <c r="T29" s="225" t="str">
        <f ca="1">IF(B29="","",IF(ISERROR(MATCH($J29,SorP!$B$1:$B$6230,0)),"",INDIRECT("'SorP'!$A$"&amp;MATCH($J29,SorP!$B$1:$B$6230,0))))</f>
        <v>CH-BE</v>
      </c>
      <c r="U29" s="241"/>
      <c r="V29" s="275">
        <f>IF(C29="",NA(),MATCH($B29&amp;$C29,'Smelter Look-up'!$J:$J,0))</f>
        <v>47</v>
      </c>
      <c r="W29" s="276"/>
      <c r="X29" s="276">
        <f t="shared" ca="1" si="4"/>
        <v>0</v>
      </c>
      <c r="Y29" s="276"/>
      <c r="Z29" s="276"/>
      <c r="AB29" s="278" t="str">
        <f t="shared" si="5"/>
        <v>GoldCendres + Métaux S.A.</v>
      </c>
    </row>
    <row r="30" spans="1:28" s="277" customFormat="1" ht="27.95" customHeight="1">
      <c r="A30" s="216"/>
      <c r="B30" s="217" t="s">
        <v>1153</v>
      </c>
      <c r="C30" s="221" t="s">
        <v>14132</v>
      </c>
      <c r="D30" s="283"/>
      <c r="E30" s="217" t="str">
        <f ca="1">IF(ISERROR($V30),"",OFFSET('Smelter Look-up'!$D$4,$V30-4,0)&amp;"")</f>
        <v>INDIA</v>
      </c>
      <c r="F30" s="217" t="str">
        <f ca="1">IF(ISERROR($V30),"",OFFSET('Smelter Look-up'!$E$4,$V30-4,0))</f>
        <v>CID003382</v>
      </c>
      <c r="G30" s="217" t="str">
        <f ca="1">IF(C30=$X$4,"Enter smelter details",IF(ISERROR($V30),"",OFFSET('Smelter Look-up'!$F$4,$V30-4,0)))</f>
        <v>RMI</v>
      </c>
      <c r="H30" s="218">
        <f ca="1">IF(ISERROR($V30),"",OFFSET('Smelter Look-up'!$G$4,$V30-4,0))</f>
        <v>0</v>
      </c>
      <c r="I30" s="219" t="str">
        <f ca="1">IF(ISERROR($V30),"",OFFSET('Smelter Look-up'!$H$4,$V30-4,0))</f>
        <v>Cochin</v>
      </c>
      <c r="J30" s="219" t="str">
        <f ca="1">IF(ISERROR($V30),"",OFFSET('Smelter Look-up'!$I$4,$V30-4,0))</f>
        <v>Kerala</v>
      </c>
      <c r="K30" s="273"/>
      <c r="L30" s="273"/>
      <c r="M30" s="273"/>
      <c r="N30" s="273"/>
      <c r="O30" s="273"/>
      <c r="P30" s="220"/>
      <c r="Q30" s="274"/>
      <c r="R30" s="217" t="str">
        <f ca="1">IF(ISERROR($V30),"",OFFSET('Smelter Look-up'!$C$4,$V30-4,0)&amp;"")</f>
        <v>CGR Metalloys Pvt Ltd.</v>
      </c>
      <c r="S30" s="225" t="str">
        <f t="shared" ca="1" si="3"/>
        <v>IN</v>
      </c>
      <c r="T30" s="225" t="str">
        <f ca="1">IF(B30="","",IF(ISERROR(MATCH($J30,SorP!$B$1:$B$6230,0)),"",INDIRECT("'SorP'!$A$"&amp;MATCH($J30,SorP!$B$1:$B$6230,0))))</f>
        <v>IN-KL</v>
      </c>
      <c r="U30" s="241"/>
      <c r="V30" s="275">
        <f>IF(C30="",NA(),MATCH($B30&amp;$C30,'Smelter Look-up'!$J:$J,0))</f>
        <v>49</v>
      </c>
      <c r="W30" s="276"/>
      <c r="X30" s="276">
        <f t="shared" ca="1" si="4"/>
        <v>0</v>
      </c>
      <c r="Y30" s="276"/>
      <c r="Z30" s="276"/>
      <c r="AB30" s="278" t="str">
        <f t="shared" si="5"/>
        <v>GoldCGR Metalloys Pvt Ltd.</v>
      </c>
    </row>
    <row r="31" spans="1:28" s="277" customFormat="1" ht="27.95" customHeight="1">
      <c r="A31" s="216"/>
      <c r="B31" s="217" t="s">
        <v>1153</v>
      </c>
      <c r="C31" s="221" t="s">
        <v>55</v>
      </c>
      <c r="D31" s="283"/>
      <c r="E31" s="217" t="str">
        <f ca="1">IF(ISERROR($V31),"",OFFSET('Smelter Look-up'!$D$4,$V31-4,0)&amp;"")</f>
        <v>ITALY</v>
      </c>
      <c r="F31" s="217" t="str">
        <f ca="1">IF(ISERROR($V31),"",OFFSET('Smelter Look-up'!$E$4,$V31-4,0))</f>
        <v>CID000233</v>
      </c>
      <c r="G31" s="217" t="str">
        <f ca="1">IF(C31=$X$4,"Enter smelter details",IF(ISERROR($V31),"",OFFSET('Smelter Look-up'!$F$4,$V31-4,0)))</f>
        <v>RMI</v>
      </c>
      <c r="H31" s="218">
        <f ca="1">IF(ISERROR($V31),"",OFFSET('Smelter Look-up'!$G$4,$V31-4,0))</f>
        <v>0</v>
      </c>
      <c r="I31" s="219" t="str">
        <f ca="1">IF(ISERROR($V31),"",OFFSET('Smelter Look-up'!$H$4,$V31-4,0))</f>
        <v>Arezzo</v>
      </c>
      <c r="J31" s="219" t="str">
        <f ca="1">IF(ISERROR($V31),"",OFFSET('Smelter Look-up'!$I$4,$V31-4,0))</f>
        <v>Toscana</v>
      </c>
      <c r="K31" s="273"/>
      <c r="L31" s="273"/>
      <c r="M31" s="273"/>
      <c r="N31" s="273"/>
      <c r="O31" s="273"/>
      <c r="P31" s="220"/>
      <c r="Q31" s="274"/>
      <c r="R31" s="217" t="str">
        <f ca="1">IF(ISERROR($V31),"",OFFSET('Smelter Look-up'!$C$4,$V31-4,0)&amp;"")</f>
        <v>Chimet S.p.A.</v>
      </c>
      <c r="S31" s="225" t="str">
        <f t="shared" ca="1" si="3"/>
        <v>IT</v>
      </c>
      <c r="T31" s="225" t="str">
        <f ca="1">IF(B31="","",IF(ISERROR(MATCH($J31,SorP!$B$1:$B$6230,0)),"",INDIRECT("'SorP'!$A$"&amp;MATCH($J31,SorP!$B$1:$B$6230,0))))</f>
        <v>IT-52</v>
      </c>
      <c r="U31" s="241"/>
      <c r="V31" s="275">
        <f>IF(C31="",NA(),MATCH($B31&amp;$C31,'Smelter Look-up'!$J:$J,0))</f>
        <v>51</v>
      </c>
      <c r="W31" s="276"/>
      <c r="X31" s="276">
        <f t="shared" ca="1" si="4"/>
        <v>0</v>
      </c>
      <c r="Y31" s="276"/>
      <c r="Z31" s="276"/>
      <c r="AB31" s="278" t="str">
        <f t="shared" si="5"/>
        <v>GoldChimet S.p.A.</v>
      </c>
    </row>
    <row r="32" spans="1:28" s="277" customFormat="1" ht="27.95" customHeight="1">
      <c r="A32" s="216"/>
      <c r="B32" s="217" t="s">
        <v>1153</v>
      </c>
      <c r="C32" s="221" t="s">
        <v>550</v>
      </c>
      <c r="D32" s="283"/>
      <c r="E32" s="217" t="str">
        <f ca="1">IF(ISERROR($V32),"",OFFSET('Smelter Look-up'!$D$4,$V32-4,0)&amp;"")</f>
        <v>JAPAN</v>
      </c>
      <c r="F32" s="217" t="str">
        <f ca="1">IF(ISERROR($V32),"",OFFSET('Smelter Look-up'!$E$4,$V32-4,0))</f>
        <v>CID000264</v>
      </c>
      <c r="G32" s="217" t="str">
        <f ca="1">IF(C32=$X$4,"Enter smelter details",IF(ISERROR($V32),"",OFFSET('Smelter Look-up'!$F$4,$V32-4,0)))</f>
        <v>RMI</v>
      </c>
      <c r="H32" s="218">
        <f ca="1">IF(ISERROR($V32),"",OFFSET('Smelter Look-up'!$G$4,$V32-4,0))</f>
        <v>0</v>
      </c>
      <c r="I32" s="219" t="str">
        <f ca="1">IF(ISERROR($V32),"",OFFSET('Smelter Look-up'!$H$4,$V32-4,0))</f>
        <v>Chiyoda</v>
      </c>
      <c r="J32" s="219" t="str">
        <f ca="1">IF(ISERROR($V32),"",OFFSET('Smelter Look-up'!$I$4,$V32-4,0))</f>
        <v>Tokyo</v>
      </c>
      <c r="K32" s="273"/>
      <c r="L32" s="273"/>
      <c r="M32" s="273"/>
      <c r="N32" s="273"/>
      <c r="O32" s="273"/>
      <c r="P32" s="220"/>
      <c r="Q32" s="274"/>
      <c r="R32" s="217" t="str">
        <f ca="1">IF(ISERROR($V32),"",OFFSET('Smelter Look-up'!$C$4,$V32-4,0)&amp;"")</f>
        <v>Chugai Mining</v>
      </c>
      <c r="S32" s="225" t="str">
        <f t="shared" ca="1" si="3"/>
        <v>JP</v>
      </c>
      <c r="T32" s="225" t="str">
        <f ca="1">IF(B32="","",IF(ISERROR(MATCH($J32,SorP!$B$1:$B$6230,0)),"",INDIRECT("'SorP'!$A$"&amp;MATCH($J32,SorP!$B$1:$B$6230,0))))</f>
        <v>JP-13</v>
      </c>
      <c r="U32" s="241"/>
      <c r="V32" s="275">
        <f>IF(C32="",NA(),MATCH($B32&amp;$C32,'Smelter Look-up'!$J:$J,0))</f>
        <v>54</v>
      </c>
      <c r="W32" s="276"/>
      <c r="X32" s="276">
        <f t="shared" ca="1" si="4"/>
        <v>0</v>
      </c>
      <c r="Y32" s="276"/>
      <c r="Z32" s="276"/>
      <c r="AB32" s="278" t="str">
        <f t="shared" si="5"/>
        <v>GoldChugai Mining</v>
      </c>
    </row>
    <row r="33" spans="1:28" s="277" customFormat="1" ht="27.95" customHeight="1">
      <c r="A33" s="216"/>
      <c r="B33" s="217" t="s">
        <v>1153</v>
      </c>
      <c r="C33" s="221" t="s">
        <v>684</v>
      </c>
      <c r="D33" s="283"/>
      <c r="E33" s="217" t="str">
        <f ca="1">IF(ISERROR($V33),"",OFFSET('Smelter Look-up'!$D$4,$V33-4,0)&amp;"")</f>
        <v>CHINA</v>
      </c>
      <c r="F33" s="217" t="str">
        <f ca="1">IF(ISERROR($V33),"",OFFSET('Smelter Look-up'!$E$4,$V33-4,0))</f>
        <v>CID000343</v>
      </c>
      <c r="G33" s="217" t="str">
        <f ca="1">IF(C33=$X$4,"Enter smelter details",IF(ISERROR($V33),"",OFFSET('Smelter Look-up'!$F$4,$V33-4,0)))</f>
        <v>RMI</v>
      </c>
      <c r="H33" s="218">
        <f ca="1">IF(ISERROR($V33),"",OFFSET('Smelter Look-up'!$G$4,$V33-4,0))</f>
        <v>0</v>
      </c>
      <c r="I33" s="219" t="str">
        <f ca="1">IF(ISERROR($V33),"",OFFSET('Smelter Look-up'!$H$4,$V33-4,0))</f>
        <v>Huangshi</v>
      </c>
      <c r="J33" s="219" t="str">
        <f ca="1">IF(ISERROR($V33),"",OFFSET('Smelter Look-up'!$I$4,$V33-4,0))</f>
        <v>Hubei Sheng</v>
      </c>
      <c r="K33" s="273"/>
      <c r="L33" s="273"/>
      <c r="M33" s="273"/>
      <c r="N33" s="273"/>
      <c r="O33" s="273"/>
      <c r="P33" s="220"/>
      <c r="Q33" s="274"/>
      <c r="R33" s="217" t="str">
        <f ca="1">IF(ISERROR($V33),"",OFFSET('Smelter Look-up'!$C$4,$V33-4,0)&amp;"")</f>
        <v>Daye Non-Ferrous Metals Mining Ltd.</v>
      </c>
      <c r="S33" s="225" t="str">
        <f t="shared" ca="1" si="3"/>
        <v>CN</v>
      </c>
      <c r="T33" s="225" t="str">
        <f ca="1">IF(B33="","",IF(ISERROR(MATCH($J33,SorP!$B$1:$B$6230,0)),"",INDIRECT("'SorP'!$A$"&amp;MATCH($J33,SorP!$B$1:$B$6230,0))))</f>
        <v>CN-HB</v>
      </c>
      <c r="U33" s="241"/>
      <c r="V33" s="275">
        <f>IF(C33="",NA(),MATCH($B33&amp;$C33,'Smelter Look-up'!$J:$J,0))</f>
        <v>55</v>
      </c>
      <c r="W33" s="276"/>
      <c r="X33" s="276">
        <f t="shared" ca="1" si="4"/>
        <v>0</v>
      </c>
      <c r="Y33" s="276"/>
      <c r="Z33" s="276"/>
      <c r="AB33" s="278" t="str">
        <f t="shared" si="5"/>
        <v>GoldDaye Non-Ferrous Metals Mining Ltd.</v>
      </c>
    </row>
    <row r="34" spans="1:28" s="277" customFormat="1" ht="27.95" customHeight="1">
      <c r="A34" s="216"/>
      <c r="B34" s="217" t="s">
        <v>1153</v>
      </c>
      <c r="C34" s="221" t="s">
        <v>2580</v>
      </c>
      <c r="D34" s="283"/>
      <c r="E34" s="217" t="str">
        <f ca="1">IF(ISERROR($V34),"",OFFSET('Smelter Look-up'!$D$4,$V34-4,0)&amp;"")</f>
        <v>GERMANY</v>
      </c>
      <c r="F34" s="217" t="str">
        <f ca="1">IF(ISERROR($V34),"",OFFSET('Smelter Look-up'!$E$4,$V34-4,0))</f>
        <v>CID002867</v>
      </c>
      <c r="G34" s="217" t="str">
        <f ca="1">IF(C34=$X$4,"Enter smelter details",IF(ISERROR($V34),"",OFFSET('Smelter Look-up'!$F$4,$V34-4,0)))</f>
        <v>RMI</v>
      </c>
      <c r="H34" s="218">
        <f ca="1">IF(ISERROR($V34),"",OFFSET('Smelter Look-up'!$G$4,$V34-4,0))</f>
        <v>0</v>
      </c>
      <c r="I34" s="219" t="str">
        <f ca="1">IF(ISERROR($V34),"",OFFSET('Smelter Look-up'!$H$4,$V34-4,0))</f>
        <v>Pforzheim</v>
      </c>
      <c r="J34" s="219" t="str">
        <f ca="1">IF(ISERROR($V34),"",OFFSET('Smelter Look-up'!$I$4,$V34-4,0))</f>
        <v>Baden-Württemberg</v>
      </c>
      <c r="K34" s="273"/>
      <c r="L34" s="273"/>
      <c r="M34" s="273"/>
      <c r="N34" s="273"/>
      <c r="O34" s="273"/>
      <c r="P34" s="220"/>
      <c r="Q34" s="274"/>
      <c r="R34" s="217" t="str">
        <f ca="1">IF(ISERROR($V34),"",OFFSET('Smelter Look-up'!$C$4,$V34-4,0)&amp;"")</f>
        <v>Degussa Sonne / Mond Goldhandel GmbH</v>
      </c>
      <c r="S34" s="225" t="str">
        <f t="shared" ca="1" si="3"/>
        <v>DE</v>
      </c>
      <c r="T34" s="225" t="str">
        <f ca="1">IF(B34="","",IF(ISERROR(MATCH($J34,SorP!$B$1:$B$6230,0)),"",INDIRECT("'SorP'!$A$"&amp;MATCH($J34,SorP!$B$1:$B$6230,0))))</f>
        <v>DE-BW</v>
      </c>
      <c r="U34" s="241"/>
      <c r="V34" s="275">
        <f>IF(C34="",NA(),MATCH($B34&amp;$C34,'Smelter Look-up'!$J:$J,0))</f>
        <v>57</v>
      </c>
      <c r="W34" s="276"/>
      <c r="X34" s="276">
        <f t="shared" ca="1" si="4"/>
        <v>0</v>
      </c>
      <c r="Y34" s="276"/>
      <c r="Z34" s="276"/>
      <c r="AB34" s="278" t="str">
        <f t="shared" si="5"/>
        <v>GoldDegussa Sonne / Mond Goldhandel GmbH</v>
      </c>
    </row>
    <row r="35" spans="1:28" s="277" customFormat="1" ht="27.95" customHeight="1">
      <c r="A35" s="216"/>
      <c r="B35" s="217" t="s">
        <v>1153</v>
      </c>
      <c r="C35" s="221" t="s">
        <v>14134</v>
      </c>
      <c r="D35" s="283"/>
      <c r="E35" s="217" t="str">
        <f ca="1">IF(ISERROR($V35),"",OFFSET('Smelter Look-up'!$D$4,$V35-4,0)&amp;"")</f>
        <v>UNITED ARAB EMIRATES</v>
      </c>
      <c r="F35" s="217" t="str">
        <f ca="1">IF(ISERROR($V35),"",OFFSET('Smelter Look-up'!$E$4,$V35-4,0))</f>
        <v>CID003348</v>
      </c>
      <c r="G35" s="217" t="str">
        <f ca="1">IF(C35=$X$4,"Enter smelter details",IF(ISERROR($V35),"",OFFSET('Smelter Look-up'!$F$4,$V35-4,0)))</f>
        <v>RMI</v>
      </c>
      <c r="H35" s="218">
        <f ca="1">IF(ISERROR($V35),"",OFFSET('Smelter Look-up'!$G$4,$V35-4,0))</f>
        <v>0</v>
      </c>
      <c r="I35" s="219" t="str">
        <f ca="1">IF(ISERROR($V35),"",OFFSET('Smelter Look-up'!$H$4,$V35-4,0))</f>
        <v>Sharjah</v>
      </c>
      <c r="J35" s="219" t="str">
        <f ca="1">IF(ISERROR($V35),"",OFFSET('Smelter Look-up'!$I$4,$V35-4,0))</f>
        <v>Ash Shāriqah</v>
      </c>
      <c r="K35" s="273"/>
      <c r="L35" s="273"/>
      <c r="M35" s="273"/>
      <c r="N35" s="273"/>
      <c r="O35" s="273"/>
      <c r="P35" s="220"/>
      <c r="Q35" s="274"/>
      <c r="R35" s="217" t="str">
        <f ca="1">IF(ISERROR($V35),"",OFFSET('Smelter Look-up'!$C$4,$V35-4,0)&amp;"")</f>
        <v>Dijllah Gold Refinery FZC</v>
      </c>
      <c r="S35" s="225" t="str">
        <f t="shared" ca="1" si="3"/>
        <v>AE</v>
      </c>
      <c r="T35" s="225" t="str">
        <f ca="1">IF(B35="","",IF(ISERROR(MATCH($J35,SorP!$B$1:$B$6230,0)),"",INDIRECT("'SorP'!$A$"&amp;MATCH($J35,SorP!$B$1:$B$6230,0))))</f>
        <v>AE-SH</v>
      </c>
      <c r="U35" s="241"/>
      <c r="V35" s="275">
        <f>IF(C35="",NA(),MATCH($B35&amp;$C35,'Smelter Look-up'!$J:$J,0))</f>
        <v>58</v>
      </c>
      <c r="W35" s="276"/>
      <c r="X35" s="276">
        <f t="shared" ca="1" si="4"/>
        <v>0</v>
      </c>
      <c r="Y35" s="276"/>
      <c r="Z35" s="276"/>
      <c r="AB35" s="278" t="str">
        <f t="shared" si="5"/>
        <v>GoldDijllah Gold Refinery FZC</v>
      </c>
    </row>
    <row r="36" spans="1:28" s="277" customFormat="1" ht="27.95" customHeight="1">
      <c r="A36" s="216"/>
      <c r="B36" s="217" t="s">
        <v>1153</v>
      </c>
      <c r="C36" s="221" t="s">
        <v>13251</v>
      </c>
      <c r="D36" s="283"/>
      <c r="E36" s="217" t="str">
        <f ca="1">IF(ISERROR($V36),"",OFFSET('Smelter Look-up'!$D$4,$V36-4,0)&amp;"")</f>
        <v>GERMANY</v>
      </c>
      <c r="F36" s="217" t="str">
        <f ca="1">IF(ISERROR($V36),"",OFFSET('Smelter Look-up'!$E$4,$V36-4,0))</f>
        <v>CID000362</v>
      </c>
      <c r="G36" s="217" t="str">
        <f ca="1">IF(C36=$X$4,"Enter smelter details",IF(ISERROR($V36),"",OFFSET('Smelter Look-up'!$F$4,$V36-4,0)))</f>
        <v>RMI</v>
      </c>
      <c r="H36" s="218">
        <f ca="1">IF(ISERROR($V36),"",OFFSET('Smelter Look-up'!$G$4,$V36-4,0))</f>
        <v>0</v>
      </c>
      <c r="I36" s="219" t="str">
        <f ca="1">IF(ISERROR($V36),"",OFFSET('Smelter Look-up'!$H$4,$V36-4,0))</f>
        <v>Pforzheim</v>
      </c>
      <c r="J36" s="219" t="str">
        <f ca="1">IF(ISERROR($V36),"",OFFSET('Smelter Look-up'!$I$4,$V36-4,0))</f>
        <v>Baden-Württemberg</v>
      </c>
      <c r="K36" s="273"/>
      <c r="L36" s="273"/>
      <c r="M36" s="273"/>
      <c r="N36" s="273"/>
      <c r="O36" s="273"/>
      <c r="P36" s="220"/>
      <c r="Q36" s="274"/>
      <c r="R36" s="217" t="str">
        <f ca="1">IF(ISERROR($V36),"",OFFSET('Smelter Look-up'!$C$4,$V36-4,0)&amp;"")</f>
        <v>DODUCO Contacts and Refining GmbH</v>
      </c>
      <c r="S36" s="225" t="str">
        <f t="shared" ca="1" si="3"/>
        <v>DE</v>
      </c>
      <c r="T36" s="225" t="str">
        <f ca="1">IF(B36="","",IF(ISERROR(MATCH($J36,SorP!$B$1:$B$6230,0)),"",INDIRECT("'SorP'!$A$"&amp;MATCH($J36,SorP!$B$1:$B$6230,0))))</f>
        <v>DE-BW</v>
      </c>
      <c r="U36" s="241"/>
      <c r="V36" s="275">
        <f>IF(C36="",NA(),MATCH($B36&amp;$C36,'Smelter Look-up'!$J:$J,0))</f>
        <v>61</v>
      </c>
      <c r="W36" s="276"/>
      <c r="X36" s="276">
        <f t="shared" ca="1" si="4"/>
        <v>0</v>
      </c>
      <c r="Y36" s="276"/>
      <c r="Z36" s="276"/>
      <c r="AB36" s="278" t="str">
        <f t="shared" si="5"/>
        <v>GoldDODUCO Contacts and Refining GmbH</v>
      </c>
    </row>
    <row r="37" spans="1:28" s="277" customFormat="1" ht="27.95" customHeight="1">
      <c r="A37" s="216"/>
      <c r="B37" s="217" t="s">
        <v>1153</v>
      </c>
      <c r="C37" s="221" t="s">
        <v>929</v>
      </c>
      <c r="D37" s="283"/>
      <c r="E37" s="217" t="str">
        <f ca="1">IF(ISERROR($V37),"",OFFSET('Smelter Look-up'!$D$4,$V37-4,0)&amp;"")</f>
        <v>JAPAN</v>
      </c>
      <c r="F37" s="217" t="str">
        <f ca="1">IF(ISERROR($V37),"",OFFSET('Smelter Look-up'!$E$4,$V37-4,0))</f>
        <v>CID000401</v>
      </c>
      <c r="G37" s="217" t="str">
        <f ca="1">IF(C37=$X$4,"Enter smelter details",IF(ISERROR($V37),"",OFFSET('Smelter Look-up'!$F$4,$V37-4,0)))</f>
        <v>RMI</v>
      </c>
      <c r="H37" s="218">
        <f ca="1">IF(ISERROR($V37),"",OFFSET('Smelter Look-up'!$G$4,$V37-4,0))</f>
        <v>0</v>
      </c>
      <c r="I37" s="219" t="str">
        <f ca="1">IF(ISERROR($V37),"",OFFSET('Smelter Look-up'!$H$4,$V37-4,0))</f>
        <v>Kosaka</v>
      </c>
      <c r="J37" s="219" t="str">
        <f ca="1">IF(ISERROR($V37),"",OFFSET('Smelter Look-up'!$I$4,$V37-4,0))</f>
        <v>Akita</v>
      </c>
      <c r="K37" s="273"/>
      <c r="L37" s="273"/>
      <c r="M37" s="273"/>
      <c r="N37" s="273"/>
      <c r="O37" s="273"/>
      <c r="P37" s="220"/>
      <c r="Q37" s="274"/>
      <c r="R37" s="217" t="str">
        <f ca="1">IF(ISERROR($V37),"",OFFSET('Smelter Look-up'!$C$4,$V37-4,0)&amp;"")</f>
        <v>Dowa</v>
      </c>
      <c r="S37" s="225" t="str">
        <f t="shared" ca="1" si="3"/>
        <v>JP</v>
      </c>
      <c r="T37" s="225" t="str">
        <f ca="1">IF(B37="","",IF(ISERROR(MATCH($J37,SorP!$B$1:$B$6230,0)),"",INDIRECT("'SorP'!$A$"&amp;MATCH($J37,SorP!$B$1:$B$6230,0))))</f>
        <v>JP-05</v>
      </c>
      <c r="U37" s="241"/>
      <c r="V37" s="275">
        <f>IF(C37="",NA(),MATCH($B37&amp;$C37,'Smelter Look-up'!$J:$J,0))</f>
        <v>63</v>
      </c>
      <c r="W37" s="276"/>
      <c r="X37" s="276">
        <f t="shared" ca="1" si="4"/>
        <v>0</v>
      </c>
      <c r="Y37" s="276"/>
      <c r="Z37" s="276"/>
      <c r="AB37" s="278" t="str">
        <f t="shared" si="5"/>
        <v>GoldDowa</v>
      </c>
    </row>
    <row r="38" spans="1:28" s="277" customFormat="1" ht="27.95" customHeight="1">
      <c r="A38" s="216"/>
      <c r="B38" s="217" t="s">
        <v>1153</v>
      </c>
      <c r="C38" s="221" t="s">
        <v>13252</v>
      </c>
      <c r="D38" s="283"/>
      <c r="E38" s="217" t="str">
        <f ca="1">IF(ISERROR($V38),"",OFFSET('Smelter Look-up'!$D$4,$V38-4,0)&amp;"")</f>
        <v>KOREA, REPUBLIC OF</v>
      </c>
      <c r="F38" s="217" t="str">
        <f ca="1">IF(ISERROR($V38),"",OFFSET('Smelter Look-up'!$E$4,$V38-4,0))</f>
        <v>CID003195</v>
      </c>
      <c r="G38" s="217" t="str">
        <f ca="1">IF(C38=$X$4,"Enter smelter details",IF(ISERROR($V38),"",OFFSET('Smelter Look-up'!$F$4,$V38-4,0)))</f>
        <v>RMI</v>
      </c>
      <c r="H38" s="218">
        <f ca="1">IF(ISERROR($V38),"",OFFSET('Smelter Look-up'!$G$4,$V38-4,0))</f>
        <v>0</v>
      </c>
      <c r="I38" s="219" t="str">
        <f ca="1">IF(ISERROR($V38),"",OFFSET('Smelter Look-up'!$H$4,$V38-4,0))</f>
        <v>Chopyeong-myeon</v>
      </c>
      <c r="J38" s="219" t="str">
        <f ca="1">IF(ISERROR($V38),"",OFFSET('Smelter Look-up'!$I$4,$V38-4,0))</f>
        <v>Chungcheongbuk-do</v>
      </c>
      <c r="K38" s="273"/>
      <c r="L38" s="273"/>
      <c r="M38" s="273"/>
      <c r="N38" s="273"/>
      <c r="O38" s="273"/>
      <c r="P38" s="220"/>
      <c r="Q38" s="274"/>
      <c r="R38" s="217" t="str">
        <f ca="1">IF(ISERROR($V38),"",OFFSET('Smelter Look-up'!$C$4,$V38-4,0)&amp;"")</f>
        <v>DS PRETECH Co., Ltd.</v>
      </c>
      <c r="S38" s="225" t="str">
        <f t="shared" ref="S38:S68" ca="1" si="6">IF(B38="","",IF(ISERROR(MATCH($E38,CL,0)),"Unknown",INDIRECT("'C'!$A$"&amp;MATCH($E38,CL,0)+1)))</f>
        <v>KR</v>
      </c>
      <c r="T38" s="225" t="str">
        <f ca="1">IF(B38="","",IF(ISERROR(MATCH($J38,SorP!$B$1:$B$6230,0)),"",INDIRECT("'SorP'!$A$"&amp;MATCH($J38,SorP!$B$1:$B$6230,0))))</f>
        <v>KR-43</v>
      </c>
      <c r="U38" s="241"/>
      <c r="V38" s="275">
        <f>IF(C38="",NA(),MATCH($B38&amp;$C38,'Smelter Look-up'!$J:$J,0))</f>
        <v>67</v>
      </c>
      <c r="W38" s="276"/>
      <c r="X38" s="276">
        <f t="shared" ref="X38:X68" ca="1" si="7">IF(AND(C38="Smelter not listed",OR(LEN(D38)=0,LEN(E38)=0)),1,0)</f>
        <v>0</v>
      </c>
      <c r="Y38" s="276"/>
      <c r="Z38" s="276"/>
      <c r="AB38" s="278" t="str">
        <f t="shared" ref="AB38:AB68" si="8">B38&amp;C38</f>
        <v>GoldDS PRETECH Co., Ltd.</v>
      </c>
    </row>
    <row r="39" spans="1:28" s="277" customFormat="1" ht="27.95" customHeight="1">
      <c r="A39" s="216"/>
      <c r="B39" s="217" t="s">
        <v>1153</v>
      </c>
      <c r="C39" s="221" t="s">
        <v>2368</v>
      </c>
      <c r="D39" s="283"/>
      <c r="E39" s="217" t="str">
        <f ca="1">IF(ISERROR($V39),"",OFFSET('Smelter Look-up'!$D$4,$V39-4,0)&amp;"")</f>
        <v>KOREA, REPUBLIC OF</v>
      </c>
      <c r="F39" s="217" t="str">
        <f ca="1">IF(ISERROR($V39),"",OFFSET('Smelter Look-up'!$E$4,$V39-4,0))</f>
        <v>CID000359</v>
      </c>
      <c r="G39" s="217" t="str">
        <f ca="1">IF(C39=$X$4,"Enter smelter details",IF(ISERROR($V39),"",OFFSET('Smelter Look-up'!$F$4,$V39-4,0)))</f>
        <v>RMI</v>
      </c>
      <c r="H39" s="218">
        <f ca="1">IF(ISERROR($V39),"",OFFSET('Smelter Look-up'!$G$4,$V39-4,0))</f>
        <v>0</v>
      </c>
      <c r="I39" s="219" t="str">
        <f ca="1">IF(ISERROR($V39),"",OFFSET('Smelter Look-up'!$H$4,$V39-4,0))</f>
        <v>Gimpo</v>
      </c>
      <c r="J39" s="219" t="str">
        <f ca="1">IF(ISERROR($V39),"",OFFSET('Smelter Look-up'!$I$4,$V39-4,0))</f>
        <v>Gyeonggi-do</v>
      </c>
      <c r="K39" s="273"/>
      <c r="L39" s="273"/>
      <c r="M39" s="273"/>
      <c r="N39" s="273"/>
      <c r="O39" s="273"/>
      <c r="P39" s="220"/>
      <c r="Q39" s="274"/>
      <c r="R39" s="217" t="str">
        <f ca="1">IF(ISERROR($V39),"",OFFSET('Smelter Look-up'!$C$4,$V39-4,0)&amp;"")</f>
        <v>DSC (Do Sung Corporation)</v>
      </c>
      <c r="S39" s="225" t="str">
        <f t="shared" ca="1" si="6"/>
        <v>KR</v>
      </c>
      <c r="T39" s="225" t="str">
        <f ca="1">IF(B39="","",IF(ISERROR(MATCH($J39,SorP!$B$1:$B$6230,0)),"",INDIRECT("'SorP'!$A$"&amp;MATCH($J39,SorP!$B$1:$B$6230,0))))</f>
        <v>KR-41</v>
      </c>
      <c r="U39" s="241"/>
      <c r="V39" s="275">
        <f>IF(C39="",NA(),MATCH($B39&amp;$C39,'Smelter Look-up'!$J:$J,0))</f>
        <v>68</v>
      </c>
      <c r="W39" s="276"/>
      <c r="X39" s="276">
        <f t="shared" ca="1" si="7"/>
        <v>0</v>
      </c>
      <c r="Y39" s="276"/>
      <c r="Z39" s="276"/>
      <c r="AB39" s="278" t="str">
        <f t="shared" si="8"/>
        <v>GoldDSC (Do Sung Corporation)</v>
      </c>
    </row>
    <row r="40" spans="1:28" s="277" customFormat="1" ht="27.95" customHeight="1">
      <c r="A40" s="216"/>
      <c r="B40" s="217" t="s">
        <v>1153</v>
      </c>
      <c r="C40" s="221" t="s">
        <v>14208</v>
      </c>
      <c r="D40" s="283"/>
      <c r="E40" s="217" t="str">
        <f ca="1">IF(ISERROR($V40),"",OFFSET('Smelter Look-up'!$D$4,$V40-4,0)&amp;"")</f>
        <v>JAPAN</v>
      </c>
      <c r="F40" s="217" t="str">
        <f ca="1">IF(ISERROR($V40),"",OFFSET('Smelter Look-up'!$E$4,$V40-4,0))</f>
        <v>CID000425</v>
      </c>
      <c r="G40" s="217" t="str">
        <f ca="1">IF(C40=$X$4,"Enter smelter details",IF(ISERROR($V40),"",OFFSET('Smelter Look-up'!$F$4,$V40-4,0)))</f>
        <v>RMI</v>
      </c>
      <c r="H40" s="218">
        <f ca="1">IF(ISERROR($V40),"",OFFSET('Smelter Look-up'!$G$4,$V40-4,0))</f>
        <v>0</v>
      </c>
      <c r="I40" s="219" t="str">
        <f ca="1">IF(ISERROR($V40),"",OFFSET('Smelter Look-up'!$H$4,$V40-4,0))</f>
        <v>Honjo</v>
      </c>
      <c r="J40" s="219" t="str">
        <f ca="1">IF(ISERROR($V40),"",OFFSET('Smelter Look-up'!$I$4,$V40-4,0))</f>
        <v>Saitama</v>
      </c>
      <c r="K40" s="273"/>
      <c r="L40" s="273"/>
      <c r="M40" s="273"/>
      <c r="N40" s="273"/>
      <c r="O40" s="273"/>
      <c r="P40" s="220"/>
      <c r="Q40" s="274"/>
      <c r="R40" s="217" t="str">
        <f ca="1">IF(ISERROR($V40),"",OFFSET('Smelter Look-up'!$C$4,$V40-4,0)&amp;"")</f>
        <v>Eco-System Recycling Co., Ltd. East Plant</v>
      </c>
      <c r="S40" s="225" t="str">
        <f t="shared" ca="1" si="6"/>
        <v>JP</v>
      </c>
      <c r="T40" s="225" t="str">
        <f ca="1">IF(B40="","",IF(ISERROR(MATCH($J40,SorP!$B$1:$B$6230,0)),"",INDIRECT("'SorP'!$A$"&amp;MATCH($J40,SorP!$B$1:$B$6230,0))))</f>
        <v>JP-11</v>
      </c>
      <c r="U40" s="241"/>
      <c r="V40" s="275">
        <f>IF(C40="",NA(),MATCH($B40&amp;$C40,'Smelter Look-up'!$J:$J,0))</f>
        <v>69</v>
      </c>
      <c r="W40" s="276"/>
      <c r="X40" s="276">
        <f t="shared" ca="1" si="7"/>
        <v>0</v>
      </c>
      <c r="Y40" s="276"/>
      <c r="Z40" s="276"/>
      <c r="AB40" s="278" t="str">
        <f t="shared" si="8"/>
        <v>GoldEco-System Recycling Co., Ltd. East Plant</v>
      </c>
    </row>
    <row r="41" spans="1:28" s="277" customFormat="1" ht="27.95" customHeight="1">
      <c r="A41" s="216"/>
      <c r="B41" s="217" t="s">
        <v>1153</v>
      </c>
      <c r="C41" s="221" t="s">
        <v>14209</v>
      </c>
      <c r="D41" s="283"/>
      <c r="E41" s="217" t="str">
        <f ca="1">IF(ISERROR($V41),"",OFFSET('Smelter Look-up'!$D$4,$V41-4,0)&amp;"")</f>
        <v>JAPAN</v>
      </c>
      <c r="F41" s="217" t="str">
        <f ca="1">IF(ISERROR($V41),"",OFFSET('Smelter Look-up'!$E$4,$V41-4,0))</f>
        <v>CID003424</v>
      </c>
      <c r="G41" s="217" t="str">
        <f ca="1">IF(C41=$X$4,"Enter smelter details",IF(ISERROR($V41),"",OFFSET('Smelter Look-up'!$F$4,$V41-4,0)))</f>
        <v>RMI</v>
      </c>
      <c r="H41" s="218">
        <f ca="1">IF(ISERROR($V41),"",OFFSET('Smelter Look-up'!$G$4,$V41-4,0))</f>
        <v>0</v>
      </c>
      <c r="I41" s="219" t="str">
        <f ca="1">IF(ISERROR($V41),"",OFFSET('Smelter Look-up'!$H$4,$V41-4,0))</f>
        <v>Kazuno</v>
      </c>
      <c r="J41" s="219" t="str">
        <f ca="1">IF(ISERROR($V41),"",OFFSET('Smelter Look-up'!$I$4,$V41-4,0))</f>
        <v>Akita</v>
      </c>
      <c r="K41" s="273"/>
      <c r="L41" s="273"/>
      <c r="M41" s="273"/>
      <c r="N41" s="273"/>
      <c r="O41" s="273"/>
      <c r="P41" s="220"/>
      <c r="Q41" s="274"/>
      <c r="R41" s="217" t="str">
        <f ca="1">IF(ISERROR($V41),"",OFFSET('Smelter Look-up'!$C$4,$V41-4,0)&amp;"")</f>
        <v>Eco-System Recycling Co., Ltd. North Plant</v>
      </c>
      <c r="S41" s="225" t="str">
        <f t="shared" ca="1" si="6"/>
        <v>JP</v>
      </c>
      <c r="T41" s="225" t="str">
        <f ca="1">IF(B41="","",IF(ISERROR(MATCH($J41,SorP!$B$1:$B$6230,0)),"",INDIRECT("'SorP'!$A$"&amp;MATCH($J41,SorP!$B$1:$B$6230,0))))</f>
        <v>JP-05</v>
      </c>
      <c r="U41" s="241"/>
      <c r="V41" s="275">
        <f>IF(C41="",NA(),MATCH($B41&amp;$C41,'Smelter Look-up'!$J:$J,0))</f>
        <v>70</v>
      </c>
      <c r="W41" s="276"/>
      <c r="X41" s="276">
        <f t="shared" ca="1" si="7"/>
        <v>0</v>
      </c>
      <c r="Y41" s="276"/>
      <c r="Z41" s="276"/>
      <c r="AB41" s="278" t="str">
        <f t="shared" si="8"/>
        <v>GoldEco-System Recycling Co., Ltd. North Plant</v>
      </c>
    </row>
    <row r="42" spans="1:28" s="277" customFormat="1" ht="27.95" customHeight="1">
      <c r="A42" s="216"/>
      <c r="B42" s="217" t="s">
        <v>1153</v>
      </c>
      <c r="C42" s="221" t="s">
        <v>14210</v>
      </c>
      <c r="D42" s="283"/>
      <c r="E42" s="217" t="str">
        <f ca="1">IF(ISERROR($V42),"",OFFSET('Smelter Look-up'!$D$4,$V42-4,0)&amp;"")</f>
        <v>JAPAN</v>
      </c>
      <c r="F42" s="217" t="str">
        <f ca="1">IF(ISERROR($V42),"",OFFSET('Smelter Look-up'!$E$4,$V42-4,0))</f>
        <v>CID003425</v>
      </c>
      <c r="G42" s="217" t="str">
        <f ca="1">IF(C42=$X$4,"Enter smelter details",IF(ISERROR($V42),"",OFFSET('Smelter Look-up'!$F$4,$V42-4,0)))</f>
        <v>RMI</v>
      </c>
      <c r="H42" s="218">
        <f ca="1">IF(ISERROR($V42),"",OFFSET('Smelter Look-up'!$G$4,$V42-4,0))</f>
        <v>0</v>
      </c>
      <c r="I42" s="219" t="str">
        <f ca="1">IF(ISERROR($V42),"",OFFSET('Smelter Look-up'!$H$4,$V42-4,0))</f>
        <v>Okayama</v>
      </c>
      <c r="J42" s="219" t="str">
        <f ca="1">IF(ISERROR($V42),"",OFFSET('Smelter Look-up'!$I$4,$V42-4,0))</f>
        <v>Okayama</v>
      </c>
      <c r="K42" s="273"/>
      <c r="L42" s="273"/>
      <c r="M42" s="273"/>
      <c r="N42" s="273"/>
      <c r="O42" s="273"/>
      <c r="P42" s="220"/>
      <c r="Q42" s="274"/>
      <c r="R42" s="217" t="str">
        <f ca="1">IF(ISERROR($V42),"",OFFSET('Smelter Look-up'!$C$4,$V42-4,0)&amp;"")</f>
        <v>Eco-System Recycling Co., Ltd. West Plant</v>
      </c>
      <c r="S42" s="225" t="str">
        <f t="shared" ca="1" si="6"/>
        <v>JP</v>
      </c>
      <c r="T42" s="225" t="str">
        <f ca="1">IF(B42="","",IF(ISERROR(MATCH($J42,SorP!$B$1:$B$6230,0)),"",INDIRECT("'SorP'!$A$"&amp;MATCH($J42,SorP!$B$1:$B$6230,0))))</f>
        <v>JP-33</v>
      </c>
      <c r="U42" s="241"/>
      <c r="V42" s="275">
        <f>IF(C42="",NA(),MATCH($B42&amp;$C42,'Smelter Look-up'!$J:$J,0))</f>
        <v>71</v>
      </c>
      <c r="W42" s="276"/>
      <c r="X42" s="276">
        <f t="shared" ca="1" si="7"/>
        <v>0</v>
      </c>
      <c r="Y42" s="276"/>
      <c r="Z42" s="276"/>
      <c r="AB42" s="278" t="str">
        <f t="shared" si="8"/>
        <v>GoldEco-System Recycling Co., Ltd. West Plant</v>
      </c>
    </row>
    <row r="43" spans="1:28" s="277" customFormat="1" ht="27.95" customHeight="1">
      <c r="A43" s="216"/>
      <c r="B43" s="217" t="s">
        <v>1153</v>
      </c>
      <c r="C43" s="221" t="s">
        <v>1740</v>
      </c>
      <c r="D43" s="283"/>
      <c r="E43" s="217" t="str">
        <f ca="1">IF(ISERROR($V43),"",OFFSET('Smelter Look-up'!$D$4,$V43-4,0)&amp;"")</f>
        <v>UNITED ARAB EMIRATES</v>
      </c>
      <c r="F43" s="217" t="str">
        <f ca="1">IF(ISERROR($V43),"",OFFSET('Smelter Look-up'!$E$4,$V43-4,0))</f>
        <v>CID002561</v>
      </c>
      <c r="G43" s="217" t="str">
        <f ca="1">IF(C43=$X$4,"Enter smelter details",IF(ISERROR($V43),"",OFFSET('Smelter Look-up'!$F$4,$V43-4,0)))</f>
        <v>RMI</v>
      </c>
      <c r="H43" s="218">
        <f ca="1">IF(ISERROR($V43),"",OFFSET('Smelter Look-up'!$G$4,$V43-4,0))</f>
        <v>0</v>
      </c>
      <c r="I43" s="219" t="str">
        <f ca="1">IF(ISERROR($V43),"",OFFSET('Smelter Look-up'!$H$4,$V43-4,0))</f>
        <v>Dubai</v>
      </c>
      <c r="J43" s="219" t="str">
        <f ca="1">IF(ISERROR($V43),"",OFFSET('Smelter Look-up'!$I$4,$V43-4,0))</f>
        <v>Dubayy</v>
      </c>
      <c r="K43" s="273"/>
      <c r="L43" s="273"/>
      <c r="M43" s="273"/>
      <c r="N43" s="273"/>
      <c r="O43" s="273"/>
      <c r="P43" s="220"/>
      <c r="Q43" s="274"/>
      <c r="R43" s="217" t="str">
        <f ca="1">IF(ISERROR($V43),"",OFFSET('Smelter Look-up'!$C$4,$V43-4,0)&amp;"")</f>
        <v>Emirates Gold DMCC</v>
      </c>
      <c r="S43" s="225" t="str">
        <f t="shared" ca="1" si="6"/>
        <v>AE</v>
      </c>
      <c r="T43" s="225" t="str">
        <f ca="1">IF(B43="","",IF(ISERROR(MATCH($J43,SorP!$B$1:$B$6230,0)),"",INDIRECT("'SorP'!$A$"&amp;MATCH($J43,SorP!$B$1:$B$6230,0))))</f>
        <v>AE-DU</v>
      </c>
      <c r="U43" s="241"/>
      <c r="V43" s="275">
        <f>IF(C43="",NA(),MATCH($B43&amp;$C43,'Smelter Look-up'!$J:$J,0))</f>
        <v>73</v>
      </c>
      <c r="W43" s="276"/>
      <c r="X43" s="276">
        <f t="shared" ca="1" si="7"/>
        <v>0</v>
      </c>
      <c r="Y43" s="276"/>
      <c r="Z43" s="276"/>
      <c r="AB43" s="278" t="str">
        <f t="shared" si="8"/>
        <v>GoldEmirates Gold DMCC</v>
      </c>
    </row>
    <row r="44" spans="1:28" s="277" customFormat="1" ht="27.95" customHeight="1">
      <c r="A44" s="216"/>
      <c r="B44" s="217" t="s">
        <v>1153</v>
      </c>
      <c r="C44" s="221" t="s">
        <v>1409</v>
      </c>
      <c r="D44" s="283"/>
      <c r="E44" s="217" t="str">
        <f ca="1">IF(ISERROR($V44),"",OFFSET('Smelter Look-up'!$D$4,$V44-4,0)&amp;"")</f>
        <v>ZIMBABWE</v>
      </c>
      <c r="F44" s="217" t="str">
        <f ca="1">IF(ISERROR($V44),"",OFFSET('Smelter Look-up'!$E$4,$V44-4,0))</f>
        <v>CID002515</v>
      </c>
      <c r="G44" s="217" t="str">
        <f ca="1">IF(C44=$X$4,"Enter smelter details",IF(ISERROR($V44),"",OFFSET('Smelter Look-up'!$F$4,$V44-4,0)))</f>
        <v>RMI</v>
      </c>
      <c r="H44" s="218">
        <f ca="1">IF(ISERROR($V44),"",OFFSET('Smelter Look-up'!$G$4,$V44-4,0))</f>
        <v>0</v>
      </c>
      <c r="I44" s="219" t="str">
        <f ca="1">IF(ISERROR($V44),"",OFFSET('Smelter Look-up'!$H$4,$V44-4,0))</f>
        <v>Msasa</v>
      </c>
      <c r="J44" s="219" t="str">
        <f ca="1">IF(ISERROR($V44),"",OFFSET('Smelter Look-up'!$I$4,$V44-4,0))</f>
        <v>Harare</v>
      </c>
      <c r="K44" s="273"/>
      <c r="L44" s="273"/>
      <c r="M44" s="273"/>
      <c r="N44" s="273"/>
      <c r="O44" s="273"/>
      <c r="P44" s="220"/>
      <c r="Q44" s="274"/>
      <c r="R44" s="217" t="str">
        <f ca="1">IF(ISERROR($V44),"",OFFSET('Smelter Look-up'!$C$4,$V44-4,0)&amp;"")</f>
        <v>Fidelity Printers and Refiners Ltd.</v>
      </c>
      <c r="S44" s="225" t="str">
        <f t="shared" ca="1" si="6"/>
        <v>ZW</v>
      </c>
      <c r="T44" s="225" t="str">
        <f ca="1">IF(B44="","",IF(ISERROR(MATCH($J44,SorP!$B$1:$B$6230,0)),"",INDIRECT("'SorP'!$A$"&amp;MATCH($J44,SorP!$B$1:$B$6230,0))))</f>
        <v>ZW-HA</v>
      </c>
      <c r="U44" s="241"/>
      <c r="V44" s="275">
        <f>IF(C44="",NA(),MATCH($B44&amp;$C44,'Smelter Look-up'!$J:$J,0))</f>
        <v>75</v>
      </c>
      <c r="W44" s="276"/>
      <c r="X44" s="276">
        <f t="shared" ca="1" si="7"/>
        <v>0</v>
      </c>
      <c r="Y44" s="276"/>
      <c r="Z44" s="276"/>
      <c r="AB44" s="278" t="str">
        <f t="shared" si="8"/>
        <v>GoldFidelity Printers and Refiners Ltd.</v>
      </c>
    </row>
    <row r="45" spans="1:28" s="277" customFormat="1" ht="27.95" customHeight="1">
      <c r="A45" s="216"/>
      <c r="B45" s="217" t="s">
        <v>1153</v>
      </c>
      <c r="C45" s="221" t="s">
        <v>14136</v>
      </c>
      <c r="D45" s="283"/>
      <c r="E45" s="217" t="str">
        <f ca="1">IF(ISERROR($V45),"",OFFSET('Smelter Look-up'!$D$4,$V45-4,0)&amp;"")</f>
        <v>UNITED ARAB EMIRATES</v>
      </c>
      <c r="F45" s="217" t="str">
        <f ca="1">IF(ISERROR($V45),"",OFFSET('Smelter Look-up'!$E$4,$V45-4,0))</f>
        <v>CID002584</v>
      </c>
      <c r="G45" s="217" t="str">
        <f ca="1">IF(C45=$X$4,"Enter smelter details",IF(ISERROR($V45),"",OFFSET('Smelter Look-up'!$F$4,$V45-4,0)))</f>
        <v>RMI</v>
      </c>
      <c r="H45" s="218">
        <f ca="1">IF(ISERROR($V45),"",OFFSET('Smelter Look-up'!$G$4,$V45-4,0))</f>
        <v>0</v>
      </c>
      <c r="I45" s="219" t="str">
        <f ca="1">IF(ISERROR($V45),"",OFFSET('Smelter Look-up'!$H$4,$V45-4,0))</f>
        <v>Fujairah</v>
      </c>
      <c r="J45" s="219" t="str">
        <f ca="1">IF(ISERROR($V45),"",OFFSET('Smelter Look-up'!$I$4,$V45-4,0))</f>
        <v>Al Fujayrah</v>
      </c>
      <c r="K45" s="273"/>
      <c r="L45" s="273"/>
      <c r="M45" s="273"/>
      <c r="N45" s="273"/>
      <c r="O45" s="273"/>
      <c r="P45" s="220"/>
      <c r="Q45" s="274"/>
      <c r="R45" s="217" t="str">
        <f ca="1">IF(ISERROR($V45),"",OFFSET('Smelter Look-up'!$C$4,$V45-4,0)&amp;"")</f>
        <v>Fujairah Gold FZC</v>
      </c>
      <c r="S45" s="225" t="str">
        <f t="shared" ca="1" si="6"/>
        <v>AE</v>
      </c>
      <c r="T45" s="225" t="str">
        <f ca="1">IF(B45="","",IF(ISERROR(MATCH($J45,SorP!$B$1:$B$6230,0)),"",INDIRECT("'SorP'!$A$"&amp;MATCH($J45,SorP!$B$1:$B$6230,0))))</f>
        <v>AE-FU</v>
      </c>
      <c r="U45" s="241"/>
      <c r="V45" s="275">
        <f>IF(C45="",NA(),MATCH($B45&amp;$C45,'Smelter Look-up'!$J:$J,0))</f>
        <v>77</v>
      </c>
      <c r="W45" s="276"/>
      <c r="X45" s="276">
        <f t="shared" ca="1" si="7"/>
        <v>0</v>
      </c>
      <c r="Y45" s="276"/>
      <c r="Z45" s="276"/>
      <c r="AB45" s="278" t="str">
        <f t="shared" si="8"/>
        <v>GoldFujairah Gold FZC</v>
      </c>
    </row>
    <row r="46" spans="1:28" s="277" customFormat="1" ht="27.95" customHeight="1">
      <c r="A46" s="216"/>
      <c r="B46" s="217" t="s">
        <v>1153</v>
      </c>
      <c r="C46" s="221" t="s">
        <v>1727</v>
      </c>
      <c r="D46" s="283"/>
      <c r="E46" s="217" t="str">
        <f ca="1">IF(ISERROR($V46),"",OFFSET('Smelter Look-up'!$D$4,$V46-4,0)&amp;"")</f>
        <v>UNITED STATES OF AMERICA</v>
      </c>
      <c r="F46" s="217" t="str">
        <f ca="1">IF(ISERROR($V46),"",OFFSET('Smelter Look-up'!$E$4,$V46-4,0))</f>
        <v>CID002459</v>
      </c>
      <c r="G46" s="217" t="str">
        <f ca="1">IF(C46=$X$4,"Enter smelter details",IF(ISERROR($V46),"",OFFSET('Smelter Look-up'!$F$4,$V46-4,0)))</f>
        <v>RMI</v>
      </c>
      <c r="H46" s="218">
        <f ca="1">IF(ISERROR($V46),"",OFFSET('Smelter Look-up'!$G$4,$V46-4,0))</f>
        <v>0</v>
      </c>
      <c r="I46" s="219" t="str">
        <f ca="1">IF(ISERROR($V46),"",OFFSET('Smelter Look-up'!$H$4,$V46-4,0))</f>
        <v>Warwick</v>
      </c>
      <c r="J46" s="219" t="str">
        <f ca="1">IF(ISERROR($V46),"",OFFSET('Smelter Look-up'!$I$4,$V46-4,0))</f>
        <v>Rhode Island</v>
      </c>
      <c r="K46" s="273"/>
      <c r="L46" s="273"/>
      <c r="M46" s="273"/>
      <c r="N46" s="273"/>
      <c r="O46" s="273"/>
      <c r="P46" s="220"/>
      <c r="Q46" s="274"/>
      <c r="R46" s="217" t="str">
        <f ca="1">IF(ISERROR($V46),"",OFFSET('Smelter Look-up'!$C$4,$V46-4,0)&amp;"")</f>
        <v>Geib Refining Corporation</v>
      </c>
      <c r="S46" s="225" t="str">
        <f t="shared" ca="1" si="6"/>
        <v>US</v>
      </c>
      <c r="T46" s="225" t="str">
        <f ca="1">IF(B46="","",IF(ISERROR(MATCH($J46,SorP!$B$1:$B$6230,0)),"",INDIRECT("'SorP'!$A$"&amp;MATCH($J46,SorP!$B$1:$B$6230,0))))</f>
        <v>US-RI</v>
      </c>
      <c r="U46" s="241"/>
      <c r="V46" s="275">
        <f>IF(C46="",NA(),MATCH($B46&amp;$C46,'Smelter Look-up'!$J:$J,0))</f>
        <v>80</v>
      </c>
      <c r="W46" s="276"/>
      <c r="X46" s="276">
        <f t="shared" ca="1" si="7"/>
        <v>0</v>
      </c>
      <c r="Y46" s="276"/>
      <c r="Z46" s="276"/>
      <c r="AB46" s="278" t="str">
        <f t="shared" si="8"/>
        <v>GoldGeib Refining Corporation</v>
      </c>
    </row>
    <row r="47" spans="1:28" s="277" customFormat="1" ht="27.95" customHeight="1">
      <c r="A47" s="216"/>
      <c r="B47" s="217" t="s">
        <v>1153</v>
      </c>
      <c r="C47" s="221" t="s">
        <v>14212</v>
      </c>
      <c r="D47" s="283"/>
      <c r="E47" s="217" t="str">
        <f ca="1">IF(ISERROR($V47),"",OFFSET('Smelter Look-up'!$D$4,$V47-4,0)&amp;"")</f>
        <v>GHANA</v>
      </c>
      <c r="F47" s="217" t="str">
        <f ca="1">IF(ISERROR($V47),"",OFFSET('Smelter Look-up'!$E$4,$V47-4,0))</f>
        <v>CID003186</v>
      </c>
      <c r="G47" s="217" t="str">
        <f ca="1">IF(C47=$X$4,"Enter smelter details",IF(ISERROR($V47),"",OFFSET('Smelter Look-up'!$F$4,$V47-4,0)))</f>
        <v>RMI</v>
      </c>
      <c r="H47" s="218">
        <f ca="1">IF(ISERROR($V47),"",OFFSET('Smelter Look-up'!$G$4,$V47-4,0))</f>
        <v>0</v>
      </c>
      <c r="I47" s="219" t="str">
        <f ca="1">IF(ISERROR($V47),"",OFFSET('Smelter Look-up'!$H$4,$V47-4,0))</f>
        <v>Accra</v>
      </c>
      <c r="J47" s="219" t="str">
        <f ca="1">IF(ISERROR($V47),"",OFFSET('Smelter Look-up'!$I$4,$V47-4,0))</f>
        <v>Greater Accra</v>
      </c>
      <c r="K47" s="273"/>
      <c r="L47" s="273"/>
      <c r="M47" s="273"/>
      <c r="N47" s="273"/>
      <c r="O47" s="273"/>
      <c r="P47" s="220"/>
      <c r="Q47" s="274"/>
      <c r="R47" s="217" t="str">
        <f ca="1">IF(ISERROR($V47),"",OFFSET('Smelter Look-up'!$C$4,$V47-4,0)&amp;"")</f>
        <v>Gold Coast Refinery</v>
      </c>
      <c r="S47" s="225" t="str">
        <f t="shared" ca="1" si="6"/>
        <v>GH</v>
      </c>
      <c r="T47" s="225" t="str">
        <f ca="1">IF(B47="","",IF(ISERROR(MATCH($J47,SorP!$B$1:$B$6230,0)),"",INDIRECT("'SorP'!$A$"&amp;MATCH($J47,SorP!$B$1:$B$6230,0))))</f>
        <v>GH-AA</v>
      </c>
      <c r="U47" s="241"/>
      <c r="V47" s="275">
        <f>IF(C47="",NA(),MATCH($B47&amp;$C47,'Smelter Look-up'!$J:$J,0))</f>
        <v>81</v>
      </c>
      <c r="W47" s="276"/>
      <c r="X47" s="276">
        <f t="shared" ca="1" si="7"/>
        <v>0</v>
      </c>
      <c r="Y47" s="276"/>
      <c r="Z47" s="276"/>
      <c r="AB47" s="278" t="str">
        <f t="shared" si="8"/>
        <v>GoldGold Coast Refinery</v>
      </c>
    </row>
    <row r="48" spans="1:28" s="277" customFormat="1" ht="27.95" customHeight="1">
      <c r="A48" s="216"/>
      <c r="B48" s="217" t="s">
        <v>1153</v>
      </c>
      <c r="C48" s="221" t="s">
        <v>2642</v>
      </c>
      <c r="D48" s="283"/>
      <c r="E48" s="217" t="str">
        <f ca="1">IF(ISERROR($V48),"",OFFSET('Smelter Look-up'!$D$4,$V48-4,0)&amp;"")</f>
        <v>CHINA</v>
      </c>
      <c r="F48" s="217" t="str">
        <f ca="1">IF(ISERROR($V48),"",OFFSET('Smelter Look-up'!$E$4,$V48-4,0))</f>
        <v>CID002243</v>
      </c>
      <c r="G48" s="217" t="str">
        <f ca="1">IF(C48=$X$4,"Enter smelter details",IF(ISERROR($V48),"",OFFSET('Smelter Look-up'!$F$4,$V48-4,0)))</f>
        <v>RMI</v>
      </c>
      <c r="H48" s="218">
        <f ca="1">IF(ISERROR($V48),"",OFFSET('Smelter Look-up'!$G$4,$V48-4,0))</f>
        <v>0</v>
      </c>
      <c r="I48" s="219" t="str">
        <f ca="1">IF(ISERROR($V48),"",OFFSET('Smelter Look-up'!$H$4,$V48-4,0))</f>
        <v>Shanghang</v>
      </c>
      <c r="J48" s="219" t="str">
        <f ca="1">IF(ISERROR($V48),"",OFFSET('Smelter Look-up'!$I$4,$V48-4,0))</f>
        <v>Fujian Sheng</v>
      </c>
      <c r="K48" s="273"/>
      <c r="L48" s="273"/>
      <c r="M48" s="273"/>
      <c r="N48" s="273"/>
      <c r="O48" s="273"/>
      <c r="P48" s="220"/>
      <c r="Q48" s="274"/>
      <c r="R48" s="217" t="str">
        <f ca="1">IF(ISERROR($V48),"",OFFSET('Smelter Look-up'!$C$4,$V48-4,0)&amp;"")</f>
        <v>Gold Refinery of Zijin Mining Group Co., Ltd.</v>
      </c>
      <c r="S48" s="225" t="str">
        <f t="shared" ca="1" si="6"/>
        <v>CN</v>
      </c>
      <c r="T48" s="225" t="str">
        <f ca="1">IF(B48="","",IF(ISERROR(MATCH($J48,SorP!$B$1:$B$6230,0)),"",INDIRECT("'SorP'!$A$"&amp;MATCH($J48,SorP!$B$1:$B$6230,0))))</f>
        <v>CN-FJ</v>
      </c>
      <c r="U48" s="241"/>
      <c r="V48" s="275">
        <f>IF(C48="",NA(),MATCH($B48&amp;$C48,'Smelter Look-up'!$J:$J,0))</f>
        <v>83</v>
      </c>
      <c r="W48" s="276"/>
      <c r="X48" s="276">
        <f t="shared" ca="1" si="7"/>
        <v>0</v>
      </c>
      <c r="Y48" s="276"/>
      <c r="Z48" s="276"/>
      <c r="AB48" s="278" t="str">
        <f t="shared" si="8"/>
        <v>GoldGold Refinery of Zijin Mining Group Co., Ltd.</v>
      </c>
    </row>
    <row r="49" spans="1:28" s="277" customFormat="1" ht="27.95" customHeight="1">
      <c r="A49" s="216"/>
      <c r="B49" s="217" t="s">
        <v>1153</v>
      </c>
      <c r="C49" s="221" t="s">
        <v>2328</v>
      </c>
      <c r="D49" s="283"/>
      <c r="E49" s="217" t="str">
        <f ca="1">IF(ISERROR($V49),"",OFFSET('Smelter Look-up'!$D$4,$V49-4,0)&amp;"")</f>
        <v>CHINA</v>
      </c>
      <c r="F49" s="217" t="str">
        <f ca="1">IF(ISERROR($V49),"",OFFSET('Smelter Look-up'!$E$4,$V49-4,0))</f>
        <v>CID001909</v>
      </c>
      <c r="G49" s="217" t="str">
        <f ca="1">IF(C49=$X$4,"Enter smelter details",IF(ISERROR($V49),"",OFFSET('Smelter Look-up'!$F$4,$V49-4,0)))</f>
        <v>RMI</v>
      </c>
      <c r="H49" s="218">
        <f ca="1">IF(ISERROR($V49),"",OFFSET('Smelter Look-up'!$G$4,$V49-4,0))</f>
        <v>0</v>
      </c>
      <c r="I49" s="219" t="str">
        <f ca="1">IF(ISERROR($V49),"",OFFSET('Smelter Look-up'!$H$4,$V49-4,0))</f>
        <v>Chengdu</v>
      </c>
      <c r="J49" s="219" t="str">
        <f ca="1">IF(ISERROR($V49),"",OFFSET('Smelter Look-up'!$I$4,$V49-4,0))</f>
        <v>Sichuan Sheng</v>
      </c>
      <c r="K49" s="273"/>
      <c r="L49" s="273"/>
      <c r="M49" s="273"/>
      <c r="N49" s="273"/>
      <c r="O49" s="273"/>
      <c r="P49" s="220"/>
      <c r="Q49" s="274"/>
      <c r="R49" s="217" t="str">
        <f ca="1">IF(ISERROR($V49),"",OFFSET('Smelter Look-up'!$C$4,$V49-4,0)&amp;"")</f>
        <v>Great Wall Precious Metals Co., Ltd. of CBPM</v>
      </c>
      <c r="S49" s="225" t="str">
        <f t="shared" ca="1" si="6"/>
        <v>CN</v>
      </c>
      <c r="T49" s="225" t="str">
        <f ca="1">IF(B49="","",IF(ISERROR(MATCH($J49,SorP!$B$1:$B$6230,0)),"",INDIRECT("'SorP'!$A$"&amp;MATCH($J49,SorP!$B$1:$B$6230,0))))</f>
        <v>CN-SC</v>
      </c>
      <c r="U49" s="241"/>
      <c r="V49" s="275">
        <f>IF(C49="",NA(),MATCH($B49&amp;$C49,'Smelter Look-up'!$J:$J,0))</f>
        <v>85</v>
      </c>
      <c r="W49" s="276"/>
      <c r="X49" s="276">
        <f t="shared" ca="1" si="7"/>
        <v>0</v>
      </c>
      <c r="Y49" s="276"/>
      <c r="Z49" s="276"/>
      <c r="AB49" s="278" t="str">
        <f t="shared" si="8"/>
        <v>GoldGreat Wall Precious Metals Co., Ltd. of CBPM</v>
      </c>
    </row>
    <row r="50" spans="1:28" s="277" customFormat="1" ht="27.95" customHeight="1">
      <c r="A50" s="216"/>
      <c r="B50" s="217" t="s">
        <v>1153</v>
      </c>
      <c r="C50" s="221" t="s">
        <v>692</v>
      </c>
      <c r="D50" s="283"/>
      <c r="E50" s="217" t="str">
        <f ca="1">IF(ISERROR($V50),"",OFFSET('Smelter Look-up'!$D$4,$V50-4,0)&amp;"")</f>
        <v>CHINA</v>
      </c>
      <c r="F50" s="217" t="str">
        <f ca="1">IF(ISERROR($V50),"",OFFSET('Smelter Look-up'!$E$4,$V50-4,0))</f>
        <v>CID002312</v>
      </c>
      <c r="G50" s="217" t="str">
        <f ca="1">IF(C50=$X$4,"Enter smelter details",IF(ISERROR($V50),"",OFFSET('Smelter Look-up'!$F$4,$V50-4,0)))</f>
        <v>RMI</v>
      </c>
      <c r="H50" s="218">
        <f ca="1">IF(ISERROR($V50),"",OFFSET('Smelter Look-up'!$G$4,$V50-4,0))</f>
        <v>0</v>
      </c>
      <c r="I50" s="219" t="str">
        <f ca="1">IF(ISERROR($V50),"",OFFSET('Smelter Look-up'!$H$4,$V50-4,0))</f>
        <v>Guangzhou</v>
      </c>
      <c r="J50" s="219" t="str">
        <f ca="1">IF(ISERROR($V50),"",OFFSET('Smelter Look-up'!$I$4,$V50-4,0))</f>
        <v>Guangdong Sheng</v>
      </c>
      <c r="K50" s="273"/>
      <c r="L50" s="273"/>
      <c r="M50" s="273"/>
      <c r="N50" s="273"/>
      <c r="O50" s="273"/>
      <c r="P50" s="220"/>
      <c r="Q50" s="274"/>
      <c r="R50" s="217" t="str">
        <f ca="1">IF(ISERROR($V50),"",OFFSET('Smelter Look-up'!$C$4,$V50-4,0)&amp;"")</f>
        <v>Guangdong Jinding Gold Limited</v>
      </c>
      <c r="S50" s="225" t="str">
        <f t="shared" ca="1" si="6"/>
        <v>CN</v>
      </c>
      <c r="T50" s="225" t="str">
        <f ca="1">IF(B50="","",IF(ISERROR(MATCH($J50,SorP!$B$1:$B$6230,0)),"",INDIRECT("'SorP'!$A$"&amp;MATCH($J50,SorP!$B$1:$B$6230,0))))</f>
        <v>CN-GD</v>
      </c>
      <c r="U50" s="241"/>
      <c r="V50" s="275">
        <f>IF(C50="",NA(),MATCH($B50&amp;$C50,'Smelter Look-up'!$J:$J,0))</f>
        <v>87</v>
      </c>
      <c r="W50" s="276"/>
      <c r="X50" s="276">
        <f t="shared" ca="1" si="7"/>
        <v>0</v>
      </c>
      <c r="Y50" s="276"/>
      <c r="Z50" s="276"/>
      <c r="AB50" s="278" t="str">
        <f t="shared" si="8"/>
        <v>GoldGuangdong Jinding Gold Limited</v>
      </c>
    </row>
    <row r="51" spans="1:28" s="277" customFormat="1" ht="27.95" customHeight="1">
      <c r="A51" s="216"/>
      <c r="B51" s="217" t="s">
        <v>1153</v>
      </c>
      <c r="C51" s="221" t="s">
        <v>2420</v>
      </c>
      <c r="D51" s="283"/>
      <c r="E51" s="217" t="str">
        <f ca="1">IF(ISERROR($V51),"",OFFSET('Smelter Look-up'!$D$4,$V51-4,0)&amp;"")</f>
        <v>INDIA</v>
      </c>
      <c r="F51" s="217" t="str">
        <f ca="1">IF(ISERROR($V51),"",OFFSET('Smelter Look-up'!$E$4,$V51-4,0))</f>
        <v>CID002852</v>
      </c>
      <c r="G51" s="217" t="str">
        <f ca="1">IF(C51=$X$4,"Enter smelter details",IF(ISERROR($V51),"",OFFSET('Smelter Look-up'!$F$4,$V51-4,0)))</f>
        <v>RMI</v>
      </c>
      <c r="H51" s="218">
        <f ca="1">IF(ISERROR($V51),"",OFFSET('Smelter Look-up'!$G$4,$V51-4,0))</f>
        <v>0</v>
      </c>
      <c r="I51" s="219" t="str">
        <f ca="1">IF(ISERROR($V51),"",OFFSET('Smelter Look-up'!$H$4,$V51-4,0))</f>
        <v>Ahmedabad</v>
      </c>
      <c r="J51" s="219" t="str">
        <f ca="1">IF(ISERROR($V51),"",OFFSET('Smelter Look-up'!$I$4,$V51-4,0))</f>
        <v>Gujarat</v>
      </c>
      <c r="K51" s="273"/>
      <c r="L51" s="273"/>
      <c r="M51" s="273"/>
      <c r="N51" s="273"/>
      <c r="O51" s="273"/>
      <c r="P51" s="220"/>
      <c r="Q51" s="274"/>
      <c r="R51" s="217" t="str">
        <f ca="1">IF(ISERROR($V51),"",OFFSET('Smelter Look-up'!$C$4,$V51-4,0)&amp;"")</f>
        <v>GCC Gujrat Gold Centre Pvt. Ltd.</v>
      </c>
      <c r="S51" s="225" t="str">
        <f t="shared" ca="1" si="6"/>
        <v>IN</v>
      </c>
      <c r="T51" s="225" t="str">
        <f ca="1">IF(B51="","",IF(ISERROR(MATCH($J51,SorP!$B$1:$B$6230,0)),"",INDIRECT("'SorP'!$A$"&amp;MATCH($J51,SorP!$B$1:$B$6230,0))))</f>
        <v>IN-GJ</v>
      </c>
      <c r="U51" s="241"/>
      <c r="V51" s="275">
        <f>IF(C51="",NA(),MATCH($B51&amp;$C51,'Smelter Look-up'!$J:$J,0))</f>
        <v>88</v>
      </c>
      <c r="W51" s="276"/>
      <c r="X51" s="276">
        <f t="shared" ca="1" si="7"/>
        <v>0</v>
      </c>
      <c r="Y51" s="276"/>
      <c r="Z51" s="276"/>
      <c r="AB51" s="278" t="str">
        <f t="shared" si="8"/>
        <v>GoldGujarat Gold Centre</v>
      </c>
    </row>
    <row r="52" spans="1:28" s="277" customFormat="1" ht="27.95" customHeight="1">
      <c r="A52" s="216"/>
      <c r="B52" s="217" t="s">
        <v>1153</v>
      </c>
      <c r="C52" s="221" t="s">
        <v>1613</v>
      </c>
      <c r="D52" s="283"/>
      <c r="E52" s="217" t="str">
        <f ca="1">IF(ISERROR($V52),"",OFFSET('Smelter Look-up'!$D$4,$V52-4,0)&amp;"")</f>
        <v>CHINA</v>
      </c>
      <c r="F52" s="217" t="str">
        <f ca="1">IF(ISERROR($V52),"",OFFSET('Smelter Look-up'!$E$4,$V52-4,0))</f>
        <v>CID000651</v>
      </c>
      <c r="G52" s="217" t="str">
        <f ca="1">IF(C52=$X$4,"Enter smelter details",IF(ISERROR($V52),"",OFFSET('Smelter Look-up'!$F$4,$V52-4,0)))</f>
        <v>RMI</v>
      </c>
      <c r="H52" s="218">
        <f ca="1">IF(ISERROR($V52),"",OFFSET('Smelter Look-up'!$G$4,$V52-4,0))</f>
        <v>0</v>
      </c>
      <c r="I52" s="219" t="str">
        <f ca="1">IF(ISERROR($V52),"",OFFSET('Smelter Look-up'!$H$4,$V52-4,0))</f>
        <v>Zhaoyuan</v>
      </c>
      <c r="J52" s="219" t="str">
        <f ca="1">IF(ISERROR($V52),"",OFFSET('Smelter Look-up'!$I$4,$V52-4,0))</f>
        <v>Shandong Sheng</v>
      </c>
      <c r="K52" s="273"/>
      <c r="L52" s="273"/>
      <c r="M52" s="273"/>
      <c r="N52" s="273"/>
      <c r="O52" s="273"/>
      <c r="P52" s="220"/>
      <c r="Q52" s="274"/>
      <c r="R52" s="217" t="str">
        <f ca="1">IF(ISERROR($V52),"",OFFSET('Smelter Look-up'!$C$4,$V52-4,0)&amp;"")</f>
        <v>Guoda Safina High-Tech Environmental Refinery Co., Ltd.</v>
      </c>
      <c r="S52" s="225" t="str">
        <f t="shared" ca="1" si="6"/>
        <v>CN</v>
      </c>
      <c r="T52" s="225" t="str">
        <f ca="1">IF(B52="","",IF(ISERROR(MATCH($J52,SorP!$B$1:$B$6230,0)),"",INDIRECT("'SorP'!$A$"&amp;MATCH($J52,SorP!$B$1:$B$6230,0))))</f>
        <v>CN-SD</v>
      </c>
      <c r="U52" s="241"/>
      <c r="V52" s="275">
        <f>IF(C52="",NA(),MATCH($B52&amp;$C52,'Smelter Look-up'!$J:$J,0))</f>
        <v>89</v>
      </c>
      <c r="W52" s="276"/>
      <c r="X52" s="276">
        <f t="shared" ca="1" si="7"/>
        <v>0</v>
      </c>
      <c r="Y52" s="276"/>
      <c r="Z52" s="276"/>
      <c r="AB52" s="278" t="str">
        <f t="shared" si="8"/>
        <v>GoldGuoda Safina High-Tech Environmental Refinery Co., Ltd.</v>
      </c>
    </row>
    <row r="53" spans="1:28" s="277" customFormat="1" ht="27.95" customHeight="1">
      <c r="A53" s="216"/>
      <c r="B53" s="217" t="s">
        <v>1153</v>
      </c>
      <c r="C53" s="221" t="s">
        <v>404</v>
      </c>
      <c r="D53" s="283"/>
      <c r="E53" s="217" t="str">
        <f ca="1">IF(ISERROR($V53),"",OFFSET('Smelter Look-up'!$D$4,$V53-4,0)&amp;"")</f>
        <v>CHINA</v>
      </c>
      <c r="F53" s="217" t="str">
        <f ca="1">IF(ISERROR($V53),"",OFFSET('Smelter Look-up'!$E$4,$V53-4,0))</f>
        <v>CID000671</v>
      </c>
      <c r="G53" s="217" t="str">
        <f ca="1">IF(C53=$X$4,"Enter smelter details",IF(ISERROR($V53),"",OFFSET('Smelter Look-up'!$F$4,$V53-4,0)))</f>
        <v>RMI</v>
      </c>
      <c r="H53" s="218">
        <f ca="1">IF(ISERROR($V53),"",OFFSET('Smelter Look-up'!$G$4,$V53-4,0))</f>
        <v>0</v>
      </c>
      <c r="I53" s="219" t="str">
        <f ca="1">IF(ISERROR($V53),"",OFFSET('Smelter Look-up'!$H$4,$V53-4,0))</f>
        <v>Fuyang</v>
      </c>
      <c r="J53" s="219" t="str">
        <f ca="1">IF(ISERROR($V53),"",OFFSET('Smelter Look-up'!$I$4,$V53-4,0))</f>
        <v>Zhejiang Sheng</v>
      </c>
      <c r="K53" s="273"/>
      <c r="L53" s="273"/>
      <c r="M53" s="273"/>
      <c r="N53" s="273"/>
      <c r="O53" s="273"/>
      <c r="P53" s="220"/>
      <c r="Q53" s="274"/>
      <c r="R53" s="217" t="str">
        <f ca="1">IF(ISERROR($V53),"",OFFSET('Smelter Look-up'!$C$4,$V53-4,0)&amp;"")</f>
        <v>Hangzhou Fuchunjiang Smelting Co., Ltd.</v>
      </c>
      <c r="S53" s="225" t="str">
        <f t="shared" ca="1" si="6"/>
        <v>CN</v>
      </c>
      <c r="T53" s="225" t="str">
        <f ca="1">IF(B53="","",IF(ISERROR(MATCH($J53,SorP!$B$1:$B$6230,0)),"",INDIRECT("'SorP'!$A$"&amp;MATCH($J53,SorP!$B$1:$B$6230,0))))</f>
        <v>CN-ZJ</v>
      </c>
      <c r="U53" s="241"/>
      <c r="V53" s="275">
        <f>IF(C53="",NA(),MATCH($B53&amp;$C53,'Smelter Look-up'!$J:$J,0))</f>
        <v>90</v>
      </c>
      <c r="W53" s="276"/>
      <c r="X53" s="276">
        <f t="shared" ca="1" si="7"/>
        <v>0</v>
      </c>
      <c r="Y53" s="276"/>
      <c r="Z53" s="276"/>
      <c r="AB53" s="278" t="str">
        <f t="shared" si="8"/>
        <v>GoldHangzhou Fuchunjiang Smelting Co., Ltd.</v>
      </c>
    </row>
    <row r="54" spans="1:28" s="277" customFormat="1" ht="27.95" customHeight="1">
      <c r="A54" s="216"/>
      <c r="B54" s="217" t="s">
        <v>1153</v>
      </c>
      <c r="C54" s="221" t="s">
        <v>1062</v>
      </c>
      <c r="D54" s="283"/>
      <c r="E54" s="217" t="str">
        <f ca="1">IF(ISERROR($V54),"",OFFSET('Smelter Look-up'!$D$4,$V54-4,0)&amp;"")</f>
        <v>GERMANY</v>
      </c>
      <c r="F54" s="217" t="str">
        <f ca="1">IF(ISERROR($V54),"",OFFSET('Smelter Look-up'!$E$4,$V54-4,0))</f>
        <v>CID000694</v>
      </c>
      <c r="G54" s="217" t="str">
        <f ca="1">IF(C54=$X$4,"Enter smelter details",IF(ISERROR($V54),"",OFFSET('Smelter Look-up'!$F$4,$V54-4,0)))</f>
        <v>RMI</v>
      </c>
      <c r="H54" s="218">
        <f ca="1">IF(ISERROR($V54),"",OFFSET('Smelter Look-up'!$G$4,$V54-4,0))</f>
        <v>0</v>
      </c>
      <c r="I54" s="219" t="str">
        <f ca="1">IF(ISERROR($V54),"",OFFSET('Smelter Look-up'!$H$4,$V54-4,0))</f>
        <v>Pforzheim</v>
      </c>
      <c r="J54" s="219" t="str">
        <f ca="1">IF(ISERROR($V54),"",OFFSET('Smelter Look-up'!$I$4,$V54-4,0))</f>
        <v>Baden-Württemberg</v>
      </c>
      <c r="K54" s="273"/>
      <c r="L54" s="273"/>
      <c r="M54" s="273"/>
      <c r="N54" s="273"/>
      <c r="O54" s="273"/>
      <c r="P54" s="220"/>
      <c r="Q54" s="274"/>
      <c r="R54" s="217" t="str">
        <f ca="1">IF(ISERROR($V54),"",OFFSET('Smelter Look-up'!$C$4,$V54-4,0)&amp;"")</f>
        <v>Heimerle + Meule GmbH</v>
      </c>
      <c r="S54" s="225" t="str">
        <f t="shared" ca="1" si="6"/>
        <v>DE</v>
      </c>
      <c r="T54" s="225" t="str">
        <f ca="1">IF(B54="","",IF(ISERROR(MATCH($J54,SorP!$B$1:$B$6230,0)),"",INDIRECT("'SorP'!$A$"&amp;MATCH($J54,SorP!$B$1:$B$6230,0))))</f>
        <v>DE-BW</v>
      </c>
      <c r="U54" s="241"/>
      <c r="V54" s="275">
        <f>IF(C54="",NA(),MATCH($B54&amp;$C54,'Smelter Look-up'!$J:$J,0))</f>
        <v>92</v>
      </c>
      <c r="W54" s="276"/>
      <c r="X54" s="276">
        <f t="shared" ca="1" si="7"/>
        <v>0</v>
      </c>
      <c r="Y54" s="276"/>
      <c r="Z54" s="276"/>
      <c r="AB54" s="278" t="str">
        <f t="shared" si="8"/>
        <v>GoldHeimerle + Meule GmbH</v>
      </c>
    </row>
    <row r="55" spans="1:28" s="277" customFormat="1" ht="27.95" customHeight="1">
      <c r="A55" s="216"/>
      <c r="B55" s="217" t="s">
        <v>1153</v>
      </c>
      <c r="C55" s="221" t="s">
        <v>1898</v>
      </c>
      <c r="D55" s="221" t="s">
        <v>15507</v>
      </c>
      <c r="E55" s="217" t="s">
        <v>1123</v>
      </c>
      <c r="F55" s="217" t="s">
        <v>15516</v>
      </c>
      <c r="G55" s="217"/>
      <c r="H55" s="218">
        <f ca="1">IF(ISERROR($V55),"",OFFSET('Smelter Look-up'!$G$4,$V55-4,0))</f>
        <v>0</v>
      </c>
      <c r="I55" s="219">
        <f ca="1">IF(ISERROR($V55),"",OFFSET('Smelter Look-up'!$H$4,$V55-4,0))</f>
        <v>0</v>
      </c>
      <c r="J55" s="219">
        <f ca="1">IF(ISERROR($V55),"",OFFSET('Smelter Look-up'!$I$4,$V55-4,0))</f>
        <v>0</v>
      </c>
      <c r="K55" s="273"/>
      <c r="L55" s="273"/>
      <c r="M55" s="273"/>
      <c r="N55" s="273"/>
      <c r="O55" s="273"/>
      <c r="P55" s="220"/>
      <c r="Q55" s="274"/>
      <c r="R55" s="217" t="str">
        <f ca="1">IF(ISERROR($V55),"",OFFSET('Smelter Look-up'!$C$4,$V55-4,0)&amp;"")</f>
        <v/>
      </c>
      <c r="S55" s="225" t="str">
        <f t="shared" ca="1" si="6"/>
        <v>CN</v>
      </c>
      <c r="T55" s="225" t="str">
        <f ca="1">IF(B55="","",IF(ISERROR(MATCH($J55,SorP!$B$1:$B$6230,0)),"",INDIRECT("'SorP'!$A$"&amp;MATCH($J55,SorP!$B$1:$B$6230,0))))</f>
        <v/>
      </c>
      <c r="U55" s="241"/>
      <c r="V55" s="275">
        <f>IF(C55="",NA(),MATCH($B55&amp;$C55,'Smelter Look-up'!$J:$J,0))</f>
        <v>293</v>
      </c>
      <c r="W55" s="276"/>
      <c r="X55" s="276">
        <f t="shared" si="7"/>
        <v>0</v>
      </c>
      <c r="Y55" s="276"/>
      <c r="Z55" s="276"/>
      <c r="AB55" s="278" t="str">
        <f t="shared" si="8"/>
        <v>GoldSmelter not listed</v>
      </c>
    </row>
    <row r="56" spans="1:28" s="277" customFormat="1" ht="27.95" customHeight="1">
      <c r="A56" s="216"/>
      <c r="B56" s="217" t="s">
        <v>1153</v>
      </c>
      <c r="C56" s="221" t="s">
        <v>2647</v>
      </c>
      <c r="D56" s="283"/>
      <c r="E56" s="217" t="str">
        <f ca="1">IF(ISERROR($V56),"",OFFSET('Smelter Look-up'!$D$4,$V56-4,0)&amp;"")</f>
        <v>CHINA</v>
      </c>
      <c r="F56" s="217" t="str">
        <f ca="1">IF(ISERROR($V56),"",OFFSET('Smelter Look-up'!$E$4,$V56-4,0))</f>
        <v>CID000707</v>
      </c>
      <c r="G56" s="217" t="str">
        <f ca="1">IF(C56=$X$4,"Enter smelter details",IF(ISERROR($V56),"",OFFSET('Smelter Look-up'!$F$4,$V56-4,0)))</f>
        <v>RMI</v>
      </c>
      <c r="H56" s="218">
        <f ca="1">IF(ISERROR($V56),"",OFFSET('Smelter Look-up'!$G$4,$V56-4,0))</f>
        <v>0</v>
      </c>
      <c r="I56" s="219" t="str">
        <f ca="1">IF(ISERROR($V56),"",OFFSET('Smelter Look-up'!$H$4,$V56-4,0))</f>
        <v>Fanling</v>
      </c>
      <c r="J56" s="219" t="str">
        <f ca="1">IF(ISERROR($V56),"",OFFSET('Smelter Look-up'!$I$4,$V56-4,0))</f>
        <v>Hong Kong SAR</v>
      </c>
      <c r="K56" s="273"/>
      <c r="L56" s="273"/>
      <c r="M56" s="273"/>
      <c r="N56" s="273"/>
      <c r="O56" s="273"/>
      <c r="P56" s="220"/>
      <c r="Q56" s="274"/>
      <c r="R56" s="217" t="str">
        <f ca="1">IF(ISERROR($V56),"",OFFSET('Smelter Look-up'!$C$4,$V56-4,0)&amp;"")</f>
        <v>Heraeus Metals Hong Kong Ltd.</v>
      </c>
      <c r="S56" s="225" t="str">
        <f t="shared" ca="1" si="6"/>
        <v>CN</v>
      </c>
      <c r="T56" s="225" t="str">
        <f ca="1">IF(B56="","",IF(ISERROR(MATCH($J56,SorP!$B$1:$B$6230,0)),"",INDIRECT("'SorP'!$A$"&amp;MATCH($J56,SorP!$B$1:$B$6230,0))))</f>
        <v>CN-HK</v>
      </c>
      <c r="U56" s="241"/>
      <c r="V56" s="275">
        <f>IF(C56="",NA(),MATCH($B56&amp;$C56,'Smelter Look-up'!$J:$J,0))</f>
        <v>97</v>
      </c>
      <c r="W56" s="276"/>
      <c r="X56" s="276">
        <f t="shared" ca="1" si="7"/>
        <v>0</v>
      </c>
      <c r="Y56" s="276"/>
      <c r="Z56" s="276"/>
      <c r="AB56" s="278" t="str">
        <f t="shared" si="8"/>
        <v>GoldHeraeus Metals Hong Kong Ltd.</v>
      </c>
    </row>
    <row r="57" spans="1:28" s="277" customFormat="1" ht="27.95" customHeight="1">
      <c r="A57" s="216"/>
      <c r="B57" s="217" t="s">
        <v>1153</v>
      </c>
      <c r="C57" s="221" t="s">
        <v>1250</v>
      </c>
      <c r="D57" s="283"/>
      <c r="E57" s="217" t="str">
        <f ca="1">IF(ISERROR($V57),"",OFFSET('Smelter Look-up'!$D$4,$V57-4,0)&amp;"")</f>
        <v>GERMANY</v>
      </c>
      <c r="F57" s="217" t="str">
        <f ca="1">IF(ISERROR($V57),"",OFFSET('Smelter Look-up'!$E$4,$V57-4,0))</f>
        <v>CID000711</v>
      </c>
      <c r="G57" s="217" t="str">
        <f ca="1">IF(C57=$X$4,"Enter smelter details",IF(ISERROR($V57),"",OFFSET('Smelter Look-up'!$F$4,$V57-4,0)))</f>
        <v>RMI</v>
      </c>
      <c r="H57" s="218">
        <f ca="1">IF(ISERROR($V57),"",OFFSET('Smelter Look-up'!$G$4,$V57-4,0))</f>
        <v>0</v>
      </c>
      <c r="I57" s="219" t="str">
        <f ca="1">IF(ISERROR($V57),"",OFFSET('Smelter Look-up'!$H$4,$V57-4,0))</f>
        <v>Hanau</v>
      </c>
      <c r="J57" s="219" t="str">
        <f ca="1">IF(ISERROR($V57),"",OFFSET('Smelter Look-up'!$I$4,$V57-4,0))</f>
        <v>Hessen</v>
      </c>
      <c r="K57" s="273"/>
      <c r="L57" s="273"/>
      <c r="M57" s="273"/>
      <c r="N57" s="273"/>
      <c r="O57" s="273"/>
      <c r="P57" s="220"/>
      <c r="Q57" s="274"/>
      <c r="R57" s="217" t="str">
        <f ca="1">IF(ISERROR($V57),"",OFFSET('Smelter Look-up'!$C$4,$V57-4,0)&amp;"")</f>
        <v>Heraeus Precious Metals GmbH &amp; Co. KG</v>
      </c>
      <c r="S57" s="225" t="str">
        <f t="shared" ca="1" si="6"/>
        <v>DE</v>
      </c>
      <c r="T57" s="225" t="str">
        <f ca="1">IF(B57="","",IF(ISERROR(MATCH($J57,SorP!$B$1:$B$6230,0)),"",INDIRECT("'SorP'!$A$"&amp;MATCH($J57,SorP!$B$1:$B$6230,0))))</f>
        <v>DE-HE</v>
      </c>
      <c r="U57" s="241"/>
      <c r="V57" s="275">
        <f>IF(C57="",NA(),MATCH($B57&amp;$C57,'Smelter Look-up'!$J:$J,0))</f>
        <v>98</v>
      </c>
      <c r="W57" s="276"/>
      <c r="X57" s="276">
        <f t="shared" ca="1" si="7"/>
        <v>0</v>
      </c>
      <c r="Y57" s="276"/>
      <c r="Z57" s="276"/>
      <c r="AB57" s="278" t="str">
        <f t="shared" si="8"/>
        <v>GoldHeraeus Precious Metals GmbH &amp; Co. KG</v>
      </c>
    </row>
    <row r="58" spans="1:28" s="277" customFormat="1" ht="27.95" customHeight="1">
      <c r="A58" s="216"/>
      <c r="B58" s="217" t="s">
        <v>1153</v>
      </c>
      <c r="C58" s="221" t="s">
        <v>2324</v>
      </c>
      <c r="D58" s="283"/>
      <c r="E58" s="217" t="str">
        <f ca="1">IF(ISERROR($V58),"",OFFSET('Smelter Look-up'!$D$4,$V58-4,0)&amp;"")</f>
        <v>CHINA</v>
      </c>
      <c r="F58" s="217" t="str">
        <f ca="1">IF(ISERROR($V58),"",OFFSET('Smelter Look-up'!$E$4,$V58-4,0))</f>
        <v>CID000767</v>
      </c>
      <c r="G58" s="217" t="str">
        <f ca="1">IF(C58=$X$4,"Enter smelter details",IF(ISERROR($V58),"",OFFSET('Smelter Look-up'!$F$4,$V58-4,0)))</f>
        <v>RMI</v>
      </c>
      <c r="H58" s="218">
        <f ca="1">IF(ISERROR($V58),"",OFFSET('Smelter Look-up'!$G$4,$V58-4,0))</f>
        <v>0</v>
      </c>
      <c r="I58" s="219" t="str">
        <f ca="1">IF(ISERROR($V58),"",OFFSET('Smelter Look-up'!$H$4,$V58-4,0))</f>
        <v>Yuanling</v>
      </c>
      <c r="J58" s="219" t="str">
        <f ca="1">IF(ISERROR($V58),"",OFFSET('Smelter Look-up'!$I$4,$V58-4,0))</f>
        <v>Hunan Sheng</v>
      </c>
      <c r="K58" s="273"/>
      <c r="L58" s="273"/>
      <c r="M58" s="273"/>
      <c r="N58" s="273"/>
      <c r="O58" s="273"/>
      <c r="P58" s="220"/>
      <c r="Q58" s="274"/>
      <c r="R58" s="217" t="str">
        <f ca="1">IF(ISERROR($V58),"",OFFSET('Smelter Look-up'!$C$4,$V58-4,0)&amp;"")</f>
        <v>Hunan Chenzhou Mining Co., Ltd.</v>
      </c>
      <c r="S58" s="225" t="str">
        <f t="shared" ca="1" si="6"/>
        <v>CN</v>
      </c>
      <c r="T58" s="225" t="str">
        <f ca="1">IF(B58="","",IF(ISERROR(MATCH($J58,SorP!$B$1:$B$6230,0)),"",INDIRECT("'SorP'!$A$"&amp;MATCH($J58,SorP!$B$1:$B$6230,0))))</f>
        <v>CN-HN</v>
      </c>
      <c r="U58" s="241"/>
      <c r="V58" s="275">
        <f>IF(C58="",NA(),MATCH($B58&amp;$C58,'Smelter Look-up'!$J:$J,0))</f>
        <v>99</v>
      </c>
      <c r="W58" s="276"/>
      <c r="X58" s="276">
        <f t="shared" ca="1" si="7"/>
        <v>0</v>
      </c>
      <c r="Y58" s="276"/>
      <c r="Z58" s="276"/>
      <c r="AB58" s="278" t="str">
        <f t="shared" si="8"/>
        <v>GoldHunan Chenzhou Mining Co., Ltd.</v>
      </c>
    </row>
    <row r="59" spans="1:28" s="277" customFormat="1" ht="27.95" customHeight="1">
      <c r="A59" s="216"/>
      <c r="B59" s="217" t="s">
        <v>1153</v>
      </c>
      <c r="C59" s="221" t="s">
        <v>13512</v>
      </c>
      <c r="D59" s="283"/>
      <c r="E59" s="217" t="str">
        <f ca="1">IF(ISERROR($V59),"",OFFSET('Smelter Look-up'!$D$4,$V59-4,0)&amp;"")</f>
        <v>CHINA</v>
      </c>
      <c r="F59" s="217" t="str">
        <f ca="1">IF(ISERROR($V59),"",OFFSET('Smelter Look-up'!$E$4,$V59-4,0))</f>
        <v>CID000773</v>
      </c>
      <c r="G59" s="217" t="str">
        <f ca="1">IF(C59=$X$4,"Enter smelter details",IF(ISERROR($V59),"",OFFSET('Smelter Look-up'!$F$4,$V59-4,0)))</f>
        <v>RMI</v>
      </c>
      <c r="H59" s="218">
        <f ca="1">IF(ISERROR($V59),"",OFFSET('Smelter Look-up'!$G$4,$V59-4,0))</f>
        <v>0</v>
      </c>
      <c r="I59" s="219" t="str">
        <f ca="1">IF(ISERROR($V59),"",OFFSET('Smelter Look-up'!$H$4,$V59-4,0))</f>
        <v>Chenzhou</v>
      </c>
      <c r="J59" s="219" t="str">
        <f ca="1">IF(ISERROR($V59),"",OFFSET('Smelter Look-up'!$I$4,$V59-4,0))</f>
        <v>Hunan Sheng</v>
      </c>
      <c r="K59" s="273"/>
      <c r="L59" s="273"/>
      <c r="M59" s="273"/>
      <c r="N59" s="273"/>
      <c r="O59" s="273"/>
      <c r="P59" s="220"/>
      <c r="Q59" s="274"/>
      <c r="R59" s="217" t="str">
        <f ca="1">IF(ISERROR($V59),"",OFFSET('Smelter Look-up'!$C$4,$V59-4,0)&amp;"")</f>
        <v>Hunan Guiyang yinxing Nonferrous Smelting Co., Ltd.</v>
      </c>
      <c r="S59" s="225" t="str">
        <f t="shared" ca="1" si="6"/>
        <v>CN</v>
      </c>
      <c r="T59" s="225" t="str">
        <f ca="1">IF(B59="","",IF(ISERROR(MATCH($J59,SorP!$B$1:$B$6230,0)),"",INDIRECT("'SorP'!$A$"&amp;MATCH($J59,SorP!$B$1:$B$6230,0))))</f>
        <v>CN-HN</v>
      </c>
      <c r="U59" s="241"/>
      <c r="V59" s="275">
        <f>IF(C59="",NA(),MATCH($B59&amp;$C59,'Smelter Look-up'!$J:$J,0))</f>
        <v>102</v>
      </c>
      <c r="W59" s="276"/>
      <c r="X59" s="276">
        <f t="shared" ca="1" si="7"/>
        <v>0</v>
      </c>
      <c r="Y59" s="276"/>
      <c r="Z59" s="276"/>
      <c r="AB59" s="278" t="str">
        <f t="shared" si="8"/>
        <v>GoldHunan Guiyang yinxing Nonferrous Smelting Co., Ltd.</v>
      </c>
    </row>
    <row r="60" spans="1:28" s="277" customFormat="1" ht="27.95" customHeight="1">
      <c r="A60" s="216"/>
      <c r="B60" s="217" t="s">
        <v>1153</v>
      </c>
      <c r="C60" s="221" t="s">
        <v>15508</v>
      </c>
      <c r="D60" s="283"/>
      <c r="E60" s="217" t="str">
        <f ca="1">IF(ISERROR($V60),"",OFFSET('Smelter Look-up'!$D$4,$V60-4,0)&amp;"")</f>
        <v>KOREA, REPUBLIC OF</v>
      </c>
      <c r="F60" s="217" t="str">
        <f ca="1">IF(ISERROR($V60),"",OFFSET('Smelter Look-up'!$E$4,$V60-4,0))</f>
        <v>CID000778</v>
      </c>
      <c r="G60" s="217" t="str">
        <f ca="1">IF(C60=$X$4,"Enter smelter details",IF(ISERROR($V60),"",OFFSET('Smelter Look-up'!$F$4,$V60-4,0)))</f>
        <v>RMI</v>
      </c>
      <c r="H60" s="218">
        <f ca="1">IF(ISERROR($V60),"",OFFSET('Smelter Look-up'!$G$4,$V60-4,0))</f>
        <v>0</v>
      </c>
      <c r="I60" s="219" t="str">
        <f ca="1">IF(ISERROR($V60),"",OFFSET('Smelter Look-up'!$H$4,$V60-4,0))</f>
        <v>Danwon</v>
      </c>
      <c r="J60" s="219" t="str">
        <f ca="1">IF(ISERROR($V60),"",OFFSET('Smelter Look-up'!$I$4,$V60-4,0))</f>
        <v>Gyeonggi-do</v>
      </c>
      <c r="K60" s="273"/>
      <c r="L60" s="273"/>
      <c r="M60" s="273"/>
      <c r="N60" s="273"/>
      <c r="O60" s="273"/>
      <c r="P60" s="220"/>
      <c r="Q60" s="274"/>
      <c r="R60" s="217" t="str">
        <f ca="1">IF(ISERROR($V60),"",OFFSET('Smelter Look-up'!$C$4,$V60-4,0)&amp;"")</f>
        <v>HwaSeong CJ CO., LTD.</v>
      </c>
      <c r="S60" s="225" t="str">
        <f t="shared" ca="1" si="6"/>
        <v>KR</v>
      </c>
      <c r="T60" s="225" t="str">
        <f ca="1">IF(B60="","",IF(ISERROR(MATCH($J60,SorP!$B$1:$B$6230,0)),"",INDIRECT("'SorP'!$A$"&amp;MATCH($J60,SorP!$B$1:$B$6230,0))))</f>
        <v>KR-41</v>
      </c>
      <c r="U60" s="241"/>
      <c r="V60" s="275">
        <f>IF(C60="",NA(),MATCH($B60&amp;$C60,'Smelter Look-up'!$J:$J,0))</f>
        <v>104</v>
      </c>
      <c r="W60" s="276"/>
      <c r="X60" s="276">
        <f t="shared" ca="1" si="7"/>
        <v>0</v>
      </c>
      <c r="Y60" s="276"/>
      <c r="Z60" s="276"/>
      <c r="AB60" s="278" t="str">
        <f t="shared" si="8"/>
        <v>GoldHwaSeong CJ Co., Ltd.</v>
      </c>
    </row>
    <row r="61" spans="1:28" s="277" customFormat="1" ht="27.95" customHeight="1">
      <c r="A61" s="216"/>
      <c r="B61" s="217" t="s">
        <v>1153</v>
      </c>
      <c r="C61" s="221" t="s">
        <v>2424</v>
      </c>
      <c r="D61" s="283"/>
      <c r="E61" s="217" t="str">
        <f ca="1">IF(ISERROR($V61),"",OFFSET('Smelter Look-up'!$D$4,$V61-4,0)&amp;"")</f>
        <v>CHINA</v>
      </c>
      <c r="F61" s="217" t="str">
        <f ca="1">IF(ISERROR($V61),"",OFFSET('Smelter Look-up'!$E$4,$V61-4,0))</f>
        <v>CID000801</v>
      </c>
      <c r="G61" s="217" t="str">
        <f ca="1">IF(C61=$X$4,"Enter smelter details",IF(ISERROR($V61),"",OFFSET('Smelter Look-up'!$F$4,$V61-4,0)))</f>
        <v>RMI</v>
      </c>
      <c r="H61" s="218">
        <f ca="1">IF(ISERROR($V61),"",OFFSET('Smelter Look-up'!$G$4,$V61-4,0))</f>
        <v>0</v>
      </c>
      <c r="I61" s="219" t="str">
        <f ca="1">IF(ISERROR($V61),"",OFFSET('Smelter Look-up'!$H$4,$V61-4,0))</f>
        <v>Hohhot</v>
      </c>
      <c r="J61" s="219" t="str">
        <f ca="1">IF(ISERROR($V61),"",OFFSET('Smelter Look-up'!$I$4,$V61-4,0))</f>
        <v>Nei Mongol Zizhiqu</v>
      </c>
      <c r="K61" s="273"/>
      <c r="L61" s="273"/>
      <c r="M61" s="273"/>
      <c r="N61" s="273"/>
      <c r="O61" s="273"/>
      <c r="P61" s="220"/>
      <c r="Q61" s="274"/>
      <c r="R61" s="217" t="str">
        <f ca="1">IF(ISERROR($V61),"",OFFSET('Smelter Look-up'!$C$4,$V61-4,0)&amp;"")</f>
        <v>Inner Mongolia Qiankun Gold and Silver Refinery Share Co., Ltd.</v>
      </c>
      <c r="S61" s="225" t="str">
        <f t="shared" ca="1" si="6"/>
        <v>CN</v>
      </c>
      <c r="T61" s="225" t="str">
        <f ca="1">IF(B61="","",IF(ISERROR(MATCH($J61,SorP!$B$1:$B$6230,0)),"",INDIRECT("'SorP'!$A$"&amp;MATCH($J61,SorP!$B$1:$B$6230,0))))</f>
        <v>CN-NM</v>
      </c>
      <c r="U61" s="241"/>
      <c r="V61" s="275">
        <f>IF(C61="",NA(),MATCH($B61&amp;$C61,'Smelter Look-up'!$J:$J,0))</f>
        <v>105</v>
      </c>
      <c r="W61" s="276"/>
      <c r="X61" s="276">
        <f t="shared" ca="1" si="7"/>
        <v>0</v>
      </c>
      <c r="Y61" s="276"/>
      <c r="Z61" s="276"/>
      <c r="AB61" s="278" t="str">
        <f t="shared" si="8"/>
        <v>GoldInner Mongolia Qiankun Gold and Silver Refinery Share Co., Ltd.</v>
      </c>
    </row>
    <row r="62" spans="1:28" s="277" customFormat="1" ht="27.95" customHeight="1">
      <c r="A62" s="216"/>
      <c r="B62" s="217" t="s">
        <v>1153</v>
      </c>
      <c r="C62" s="221" t="s">
        <v>14138</v>
      </c>
      <c r="D62" s="283"/>
      <c r="E62" s="217" t="str">
        <f ca="1">IF(ISERROR($V62),"",OFFSET('Smelter Look-up'!$D$4,$V62-4,0)&amp;"")</f>
        <v>UNITED ARAB EMIRATES</v>
      </c>
      <c r="F62" s="217" t="str">
        <f ca="1">IF(ISERROR($V62),"",OFFSET('Smelter Look-up'!$E$4,$V62-4,0))</f>
        <v>CID002562</v>
      </c>
      <c r="G62" s="217" t="str">
        <f ca="1">IF(C62=$X$4,"Enter smelter details",IF(ISERROR($V62),"",OFFSET('Smelter Look-up'!$F$4,$V62-4,0)))</f>
        <v>RMI</v>
      </c>
      <c r="H62" s="218">
        <f ca="1">IF(ISERROR($V62),"",OFFSET('Smelter Look-up'!$G$4,$V62-4,0))</f>
        <v>0</v>
      </c>
      <c r="I62" s="219" t="str">
        <f ca="1">IF(ISERROR($V62),"",OFFSET('Smelter Look-up'!$H$4,$V62-4,0))</f>
        <v>Dubai</v>
      </c>
      <c r="J62" s="219" t="str">
        <f ca="1">IF(ISERROR($V62),"",OFFSET('Smelter Look-up'!$I$4,$V62-4,0))</f>
        <v>Dubayy</v>
      </c>
      <c r="K62" s="273"/>
      <c r="L62" s="273"/>
      <c r="M62" s="273"/>
      <c r="N62" s="273"/>
      <c r="O62" s="273"/>
      <c r="P62" s="220"/>
      <c r="Q62" s="274"/>
      <c r="R62" s="217" t="str">
        <f ca="1">IF(ISERROR($V62),"",OFFSET('Smelter Look-up'!$C$4,$V62-4,0)&amp;"")</f>
        <v>International Precious Metal Refiners</v>
      </c>
      <c r="S62" s="225" t="str">
        <f t="shared" ca="1" si="6"/>
        <v>AE</v>
      </c>
      <c r="T62" s="225" t="str">
        <f ca="1">IF(B62="","",IF(ISERROR(MATCH($J62,SorP!$B$1:$B$6230,0)),"",INDIRECT("'SorP'!$A$"&amp;MATCH($J62,SorP!$B$1:$B$6230,0))))</f>
        <v>AE-DU</v>
      </c>
      <c r="U62" s="241"/>
      <c r="V62" s="275">
        <f>IF(C62="",NA(),MATCH($B62&amp;$C62,'Smelter Look-up'!$J:$J,0))</f>
        <v>106</v>
      </c>
      <c r="W62" s="276"/>
      <c r="X62" s="276">
        <f t="shared" ca="1" si="7"/>
        <v>0</v>
      </c>
      <c r="Y62" s="276"/>
      <c r="Z62" s="276"/>
      <c r="AB62" s="278" t="str">
        <f t="shared" si="8"/>
        <v>GoldInternational Precious Metal Refiners</v>
      </c>
    </row>
    <row r="63" spans="1:28" s="277" customFormat="1" ht="27.95" customHeight="1">
      <c r="A63" s="216"/>
      <c r="B63" s="217" t="s">
        <v>1153</v>
      </c>
      <c r="C63" s="221" t="s">
        <v>1251</v>
      </c>
      <c r="D63" s="283"/>
      <c r="E63" s="217" t="str">
        <f ca="1">IF(ISERROR($V63),"",OFFSET('Smelter Look-up'!$D$4,$V63-4,0)&amp;"")</f>
        <v>JAPAN</v>
      </c>
      <c r="F63" s="217" t="str">
        <f ca="1">IF(ISERROR($V63),"",OFFSET('Smelter Look-up'!$E$4,$V63-4,0))</f>
        <v>CID000807</v>
      </c>
      <c r="G63" s="217" t="str">
        <f ca="1">IF(C63=$X$4,"Enter smelter details",IF(ISERROR($V63),"",OFFSET('Smelter Look-up'!$F$4,$V63-4,0)))</f>
        <v>RMI</v>
      </c>
      <c r="H63" s="218">
        <f ca="1">IF(ISERROR($V63),"",OFFSET('Smelter Look-up'!$G$4,$V63-4,0))</f>
        <v>0</v>
      </c>
      <c r="I63" s="219" t="str">
        <f ca="1">IF(ISERROR($V63),"",OFFSET('Smelter Look-up'!$H$4,$V63-4,0))</f>
        <v>Soka</v>
      </c>
      <c r="J63" s="219" t="str">
        <f ca="1">IF(ISERROR($V63),"",OFFSET('Smelter Look-up'!$I$4,$V63-4,0))</f>
        <v>Saitama</v>
      </c>
      <c r="K63" s="273"/>
      <c r="L63" s="273"/>
      <c r="M63" s="273"/>
      <c r="N63" s="273"/>
      <c r="O63" s="273"/>
      <c r="P63" s="220"/>
      <c r="Q63" s="274"/>
      <c r="R63" s="217" t="str">
        <f ca="1">IF(ISERROR($V63),"",OFFSET('Smelter Look-up'!$C$4,$V63-4,0)&amp;"")</f>
        <v>Ishifuku Metal Industry Co., Ltd.</v>
      </c>
      <c r="S63" s="225" t="str">
        <f t="shared" ca="1" si="6"/>
        <v>JP</v>
      </c>
      <c r="T63" s="225" t="str">
        <f ca="1">IF(B63="","",IF(ISERROR(MATCH($J63,SorP!$B$1:$B$6230,0)),"",INDIRECT("'SorP'!$A$"&amp;MATCH($J63,SorP!$B$1:$B$6230,0))))</f>
        <v>JP-11</v>
      </c>
      <c r="U63" s="241"/>
      <c r="V63" s="275">
        <f>IF(C63="",NA(),MATCH($B63&amp;$C63,'Smelter Look-up'!$J:$J,0))</f>
        <v>107</v>
      </c>
      <c r="W63" s="276"/>
      <c r="X63" s="276">
        <f t="shared" ca="1" si="7"/>
        <v>0</v>
      </c>
      <c r="Y63" s="276"/>
      <c r="Z63" s="276"/>
      <c r="AB63" s="278" t="str">
        <f t="shared" si="8"/>
        <v>GoldIshifuku Metal Industry Co., Ltd.</v>
      </c>
    </row>
    <row r="64" spans="1:28" s="277" customFormat="1" ht="27.95" customHeight="1">
      <c r="A64" s="216"/>
      <c r="B64" s="217" t="s">
        <v>1153</v>
      </c>
      <c r="C64" s="221" t="s">
        <v>1258</v>
      </c>
      <c r="D64" s="283"/>
      <c r="E64" s="217" t="str">
        <f ca="1">IF(ISERROR($V64),"",OFFSET('Smelter Look-up'!$D$4,$V64-4,0)&amp;"")</f>
        <v>TURKEY</v>
      </c>
      <c r="F64" s="217" t="str">
        <f ca="1">IF(ISERROR($V64),"",OFFSET('Smelter Look-up'!$E$4,$V64-4,0))</f>
        <v>CID000814</v>
      </c>
      <c r="G64" s="217" t="str">
        <f ca="1">IF(C64=$X$4,"Enter smelter details",IF(ISERROR($V64),"",OFFSET('Smelter Look-up'!$F$4,$V64-4,0)))</f>
        <v>RMI</v>
      </c>
      <c r="H64" s="218">
        <f ca="1">IF(ISERROR($V64),"",OFFSET('Smelter Look-up'!$G$4,$V64-4,0))</f>
        <v>0</v>
      </c>
      <c r="I64" s="219" t="str">
        <f ca="1">IF(ISERROR($V64),"",OFFSET('Smelter Look-up'!$H$4,$V64-4,0))</f>
        <v>Kuyumcukent</v>
      </c>
      <c r="J64" s="219" t="str">
        <f ca="1">IF(ISERROR($V64),"",OFFSET('Smelter Look-up'!$I$4,$V64-4,0))</f>
        <v>İstanbul</v>
      </c>
      <c r="K64" s="273"/>
      <c r="L64" s="273"/>
      <c r="M64" s="273"/>
      <c r="N64" s="273"/>
      <c r="O64" s="273"/>
      <c r="P64" s="220"/>
      <c r="Q64" s="274"/>
      <c r="R64" s="217" t="str">
        <f ca="1">IF(ISERROR($V64),"",OFFSET('Smelter Look-up'!$C$4,$V64-4,0)&amp;"")</f>
        <v>Istanbul Gold Refinery</v>
      </c>
      <c r="S64" s="225" t="str">
        <f t="shared" ca="1" si="6"/>
        <v>TR</v>
      </c>
      <c r="T64" s="225" t="str">
        <f ca="1">IF(B64="","",IF(ISERROR(MATCH($J64,SorP!$B$1:$B$6230,0)),"",INDIRECT("'SorP'!$A$"&amp;MATCH($J64,SorP!$B$1:$B$6230,0))))</f>
        <v>TR-34</v>
      </c>
      <c r="U64" s="241"/>
      <c r="V64" s="275">
        <f>IF(C64="",NA(),MATCH($B64&amp;$C64,'Smelter Look-up'!$J:$J,0))</f>
        <v>108</v>
      </c>
      <c r="W64" s="276"/>
      <c r="X64" s="276">
        <f t="shared" ca="1" si="7"/>
        <v>0</v>
      </c>
      <c r="Y64" s="276"/>
      <c r="Z64" s="276"/>
      <c r="AB64" s="278" t="str">
        <f t="shared" si="8"/>
        <v>GoldIstanbul Gold Refinery</v>
      </c>
    </row>
    <row r="65" spans="1:28" s="277" customFormat="1" ht="27.95" customHeight="1">
      <c r="A65" s="216"/>
      <c r="B65" s="217" t="s">
        <v>1153</v>
      </c>
      <c r="C65" s="221" t="s">
        <v>2649</v>
      </c>
      <c r="D65" s="283"/>
      <c r="E65" s="217" t="str">
        <f ca="1">IF(ISERROR($V65),"",OFFSET('Smelter Look-up'!$D$4,$V65-4,0)&amp;"")</f>
        <v>ITALY</v>
      </c>
      <c r="F65" s="217" t="str">
        <f ca="1">IF(ISERROR($V65),"",OFFSET('Smelter Look-up'!$E$4,$V65-4,0))</f>
        <v>CID002765</v>
      </c>
      <c r="G65" s="217" t="str">
        <f ca="1">IF(C65=$X$4,"Enter smelter details",IF(ISERROR($V65),"",OFFSET('Smelter Look-up'!$F$4,$V65-4,0)))</f>
        <v>RMI</v>
      </c>
      <c r="H65" s="218">
        <f ca="1">IF(ISERROR($V65),"",OFFSET('Smelter Look-up'!$G$4,$V65-4,0))</f>
        <v>0</v>
      </c>
      <c r="I65" s="219" t="str">
        <f ca="1">IF(ISERROR($V65),"",OFFSET('Smelter Look-up'!$H$4,$V65-4,0))</f>
        <v>Arezzo</v>
      </c>
      <c r="J65" s="219" t="str">
        <f ca="1">IF(ISERROR($V65),"",OFFSET('Smelter Look-up'!$I$4,$V65-4,0))</f>
        <v>Toscana</v>
      </c>
      <c r="K65" s="273"/>
      <c r="L65" s="273"/>
      <c r="M65" s="273"/>
      <c r="N65" s="273"/>
      <c r="O65" s="273"/>
      <c r="P65" s="220"/>
      <c r="Q65" s="274"/>
      <c r="R65" s="217" t="str">
        <f ca="1">IF(ISERROR($V65),"",OFFSET('Smelter Look-up'!$C$4,$V65-4,0)&amp;"")</f>
        <v>Italpreziosi</v>
      </c>
      <c r="S65" s="225" t="str">
        <f t="shared" ca="1" si="6"/>
        <v>IT</v>
      </c>
      <c r="T65" s="225" t="str">
        <f ca="1">IF(B65="","",IF(ISERROR(MATCH($J65,SorP!$B$1:$B$6230,0)),"",INDIRECT("'SorP'!$A$"&amp;MATCH($J65,SorP!$B$1:$B$6230,0))))</f>
        <v>IT-52</v>
      </c>
      <c r="U65" s="241"/>
      <c r="V65" s="275">
        <f>IF(C65="",NA(),MATCH($B65&amp;$C65,'Smelter Look-up'!$J:$J,0))</f>
        <v>109</v>
      </c>
      <c r="W65" s="276"/>
      <c r="X65" s="276">
        <f t="shared" ca="1" si="7"/>
        <v>0</v>
      </c>
      <c r="Y65" s="276"/>
      <c r="Z65" s="276"/>
      <c r="AB65" s="278" t="str">
        <f t="shared" si="8"/>
        <v>GoldItalpreziosi</v>
      </c>
    </row>
    <row r="66" spans="1:28" s="277" customFormat="1" ht="27.95" customHeight="1">
      <c r="A66" s="216"/>
      <c r="B66" s="217" t="s">
        <v>1153</v>
      </c>
      <c r="C66" s="221" t="s">
        <v>14217</v>
      </c>
      <c r="D66" s="283"/>
      <c r="E66" s="217" t="str">
        <f ca="1">IF(ISERROR($V66),"",OFFSET('Smelter Look-up'!$D$4,$V66-4,0)&amp;"")</f>
        <v>INDIA</v>
      </c>
      <c r="F66" s="217" t="str">
        <f ca="1">IF(ISERROR($V66),"",OFFSET('Smelter Look-up'!$E$4,$V66-4,0))</f>
        <v>CID002893</v>
      </c>
      <c r="G66" s="217" t="str">
        <f ca="1">IF(C66=$X$4,"Enter smelter details",IF(ISERROR($V66),"",OFFSET('Smelter Look-up'!$F$4,$V66-4,0)))</f>
        <v>RMI</v>
      </c>
      <c r="H66" s="218">
        <f ca="1">IF(ISERROR($V66),"",OFFSET('Smelter Look-up'!$G$4,$V66-4,0))</f>
        <v>0</v>
      </c>
      <c r="I66" s="219" t="str">
        <f ca="1">IF(ISERROR($V66),"",OFFSET('Smelter Look-up'!$H$4,$V66-4,0))</f>
        <v>New Delhi</v>
      </c>
      <c r="J66" s="219" t="str">
        <f ca="1">IF(ISERROR($V66),"",OFFSET('Smelter Look-up'!$I$4,$V66-4,0))</f>
        <v>Delhi</v>
      </c>
      <c r="K66" s="273"/>
      <c r="L66" s="273"/>
      <c r="M66" s="273"/>
      <c r="N66" s="273"/>
      <c r="O66" s="273"/>
      <c r="P66" s="220"/>
      <c r="Q66" s="274"/>
      <c r="R66" s="217" t="str">
        <f ca="1">IF(ISERROR($V66),"",OFFSET('Smelter Look-up'!$C$4,$V66-4,0)&amp;"")</f>
        <v>JALAN &amp; Company</v>
      </c>
      <c r="S66" s="225" t="str">
        <f t="shared" ca="1" si="6"/>
        <v>IN</v>
      </c>
      <c r="T66" s="225" t="str">
        <f ca="1">IF(B66="","",IF(ISERROR(MATCH($J66,SorP!$B$1:$B$6230,0)),"",INDIRECT("'SorP'!$A$"&amp;MATCH($J66,SorP!$B$1:$B$6230,0))))</f>
        <v>IN-DL</v>
      </c>
      <c r="U66" s="241"/>
      <c r="V66" s="275">
        <f>IF(C66="",NA(),MATCH($B66&amp;$C66,'Smelter Look-up'!$J:$J,0))</f>
        <v>110</v>
      </c>
      <c r="W66" s="276"/>
      <c r="X66" s="276">
        <f t="shared" ca="1" si="7"/>
        <v>0</v>
      </c>
      <c r="Y66" s="276"/>
      <c r="Z66" s="276"/>
      <c r="AB66" s="278" t="str">
        <f t="shared" si="8"/>
        <v>GoldJALAN &amp; Company</v>
      </c>
    </row>
    <row r="67" spans="1:28" s="277" customFormat="1" ht="27.95" customHeight="1">
      <c r="A67" s="216"/>
      <c r="B67" s="217" t="s">
        <v>1153</v>
      </c>
      <c r="C67" s="221" t="s">
        <v>931</v>
      </c>
      <c r="D67" s="283"/>
      <c r="E67" s="217" t="str">
        <f ca="1">IF(ISERROR($V67),"",OFFSET('Smelter Look-up'!$D$4,$V67-4,0)&amp;"")</f>
        <v>JAPAN</v>
      </c>
      <c r="F67" s="217" t="str">
        <f ca="1">IF(ISERROR($V67),"",OFFSET('Smelter Look-up'!$E$4,$V67-4,0))</f>
        <v>CID000823</v>
      </c>
      <c r="G67" s="217" t="str">
        <f ca="1">IF(C67=$X$4,"Enter smelter details",IF(ISERROR($V67),"",OFFSET('Smelter Look-up'!$F$4,$V67-4,0)))</f>
        <v>RMI</v>
      </c>
      <c r="H67" s="218">
        <f ca="1">IF(ISERROR($V67),"",OFFSET('Smelter Look-up'!$G$4,$V67-4,0))</f>
        <v>0</v>
      </c>
      <c r="I67" s="219" t="str">
        <f ca="1">IF(ISERROR($V67),"",OFFSET('Smelter Look-up'!$H$4,$V67-4,0))</f>
        <v>Osaka</v>
      </c>
      <c r="J67" s="219" t="str">
        <f ca="1">IF(ISERROR($V67),"",OFFSET('Smelter Look-up'!$I$4,$V67-4,0))</f>
        <v>Osaka</v>
      </c>
      <c r="K67" s="273"/>
      <c r="L67" s="273"/>
      <c r="M67" s="273"/>
      <c r="N67" s="273"/>
      <c r="O67" s="273"/>
      <c r="P67" s="220"/>
      <c r="Q67" s="274"/>
      <c r="R67" s="217" t="str">
        <f ca="1">IF(ISERROR($V67),"",OFFSET('Smelter Look-up'!$C$4,$V67-4,0)&amp;"")</f>
        <v>Japan Mint</v>
      </c>
      <c r="S67" s="225" t="str">
        <f t="shared" ca="1" si="6"/>
        <v>JP</v>
      </c>
      <c r="T67" s="225" t="str">
        <f ca="1">IF(B67="","",IF(ISERROR(MATCH($J67,SorP!$B$1:$B$6230,0)),"",INDIRECT("'SorP'!$A$"&amp;MATCH($J67,SorP!$B$1:$B$6230,0))))</f>
        <v>JP-27</v>
      </c>
      <c r="U67" s="241"/>
      <c r="V67" s="275">
        <f>IF(C67="",NA(),MATCH($B67&amp;$C67,'Smelter Look-up'!$J:$J,0))</f>
        <v>111</v>
      </c>
      <c r="W67" s="276"/>
      <c r="X67" s="276">
        <f t="shared" ca="1" si="7"/>
        <v>0</v>
      </c>
      <c r="Y67" s="276"/>
      <c r="Z67" s="276"/>
      <c r="AB67" s="278" t="str">
        <f t="shared" si="8"/>
        <v>GoldJapan Mint</v>
      </c>
    </row>
    <row r="68" spans="1:28" s="277" customFormat="1" ht="27.95" customHeight="1">
      <c r="A68" s="216"/>
      <c r="B68" s="217" t="s">
        <v>1153</v>
      </c>
      <c r="C68" s="221" t="s">
        <v>2425</v>
      </c>
      <c r="D68" s="283"/>
      <c r="E68" s="217" t="str">
        <f ca="1">IF(ISERROR($V68),"",OFFSET('Smelter Look-up'!$D$4,$V68-4,0)&amp;"")</f>
        <v>CHINA</v>
      </c>
      <c r="F68" s="217" t="str">
        <f ca="1">IF(ISERROR($V68),"",OFFSET('Smelter Look-up'!$E$4,$V68-4,0))</f>
        <v>CID000855</v>
      </c>
      <c r="G68" s="217" t="str">
        <f ca="1">IF(C68=$X$4,"Enter smelter details",IF(ISERROR($V68),"",OFFSET('Smelter Look-up'!$F$4,$V68-4,0)))</f>
        <v>RMI</v>
      </c>
      <c r="H68" s="218">
        <f ca="1">IF(ISERROR($V68),"",OFFSET('Smelter Look-up'!$G$4,$V68-4,0))</f>
        <v>0</v>
      </c>
      <c r="I68" s="219" t="str">
        <f ca="1">IF(ISERROR($V68),"",OFFSET('Smelter Look-up'!$H$4,$V68-4,0))</f>
        <v>Guixi City</v>
      </c>
      <c r="J68" s="219" t="str">
        <f ca="1">IF(ISERROR($V68),"",OFFSET('Smelter Look-up'!$I$4,$V68-4,0))</f>
        <v>Jiangxi Sheng</v>
      </c>
      <c r="K68" s="273"/>
      <c r="L68" s="273"/>
      <c r="M68" s="273"/>
      <c r="N68" s="273"/>
      <c r="O68" s="273"/>
      <c r="P68" s="220"/>
      <c r="Q68" s="274"/>
      <c r="R68" s="217" t="str">
        <f ca="1">IF(ISERROR($V68),"",OFFSET('Smelter Look-up'!$C$4,$V68-4,0)&amp;"")</f>
        <v>Jiangxi Copper Co., Ltd.</v>
      </c>
      <c r="S68" s="225" t="str">
        <f t="shared" ca="1" si="6"/>
        <v>CN</v>
      </c>
      <c r="T68" s="225" t="str">
        <f ca="1">IF(B68="","",IF(ISERROR(MATCH($J68,SorP!$B$1:$B$6230,0)),"",INDIRECT("'SorP'!$A$"&amp;MATCH($J68,SorP!$B$1:$B$6230,0))))</f>
        <v>CN-JX</v>
      </c>
      <c r="U68" s="241"/>
      <c r="V68" s="275">
        <f>IF(C68="",NA(),MATCH($B68&amp;$C68,'Smelter Look-up'!$J:$J,0))</f>
        <v>113</v>
      </c>
      <c r="W68" s="276"/>
      <c r="X68" s="276">
        <f t="shared" ca="1" si="7"/>
        <v>0</v>
      </c>
      <c r="Y68" s="276"/>
      <c r="Z68" s="276"/>
      <c r="AB68" s="278" t="str">
        <f t="shared" si="8"/>
        <v>GoldJiangxi Copper Co., Ltd.</v>
      </c>
    </row>
    <row r="69" spans="1:28" s="277" customFormat="1" ht="27.95" customHeight="1">
      <c r="A69" s="216"/>
      <c r="B69" s="217" t="s">
        <v>1153</v>
      </c>
      <c r="C69" s="221" t="s">
        <v>932</v>
      </c>
      <c r="D69" s="283"/>
      <c r="E69" s="217" t="str">
        <f ca="1">IF(ISERROR($V69),"",OFFSET('Smelter Look-up'!$D$4,$V69-4,0)&amp;"")</f>
        <v>RUSSIAN FEDERATION</v>
      </c>
      <c r="F69" s="217" t="str">
        <f ca="1">IF(ISERROR($V69),"",OFFSET('Smelter Look-up'!$E$4,$V69-4,0))</f>
        <v>CID000927</v>
      </c>
      <c r="G69" s="217" t="str">
        <f ca="1">IF(C69=$X$4,"Enter smelter details",IF(ISERROR($V69),"",OFFSET('Smelter Look-up'!$F$4,$V69-4,0)))</f>
        <v>RMI</v>
      </c>
      <c r="H69" s="218">
        <f ca="1">IF(ISERROR($V69),"",OFFSET('Smelter Look-up'!$G$4,$V69-4,0))</f>
        <v>0</v>
      </c>
      <c r="I69" s="219" t="str">
        <f ca="1">IF(ISERROR($V69),"",OFFSET('Smelter Look-up'!$H$4,$V69-4,0))</f>
        <v>Verkhnyaya Pyshma</v>
      </c>
      <c r="J69" s="219" t="str">
        <f ca="1">IF(ISERROR($V69),"",OFFSET('Smelter Look-up'!$I$4,$V69-4,0))</f>
        <v>Sverdlovskaya oblast'</v>
      </c>
      <c r="K69" s="273"/>
      <c r="L69" s="273"/>
      <c r="M69" s="273"/>
      <c r="N69" s="273"/>
      <c r="O69" s="273"/>
      <c r="P69" s="220"/>
      <c r="Q69" s="274"/>
      <c r="R69" s="217" t="str">
        <f ca="1">IF(ISERROR($V69),"",OFFSET('Smelter Look-up'!$C$4,$V69-4,0)&amp;"")</f>
        <v>JSC Ekaterinburg Non-Ferrous Metal Processing Plant</v>
      </c>
      <c r="S69" s="225" t="str">
        <f t="shared" ref="S69" ca="1" si="9">IF(B69="","",IF(ISERROR(MATCH($E69,CL,0)),"Unknown",INDIRECT("'C'!$A$"&amp;MATCH($E69,CL,0)+1)))</f>
        <v>RU</v>
      </c>
      <c r="T69" s="225" t="str">
        <f ca="1">IF(B69="","",IF(ISERROR(MATCH($J69,SorP!$B$1:$B$6230,0)),"",INDIRECT("'SorP'!$A$"&amp;MATCH($J69,SorP!$B$1:$B$6230,0))))</f>
        <v>RU-SVE</v>
      </c>
      <c r="U69" s="241"/>
      <c r="V69" s="275">
        <f>IF(C69="",NA(),MATCH($B69&amp;$C69,'Smelter Look-up'!$J:$J,0))</f>
        <v>118</v>
      </c>
      <c r="W69" s="276"/>
      <c r="X69" s="276">
        <f t="shared" ref="X69" ca="1" si="10">IF(AND(C69="Smelter not listed",OR(LEN(D69)=0,LEN(E69)=0)),1,0)</f>
        <v>0</v>
      </c>
      <c r="Y69" s="276"/>
      <c r="Z69" s="276"/>
      <c r="AB69" s="278" t="str">
        <f t="shared" ref="AB69" si="11">B69&amp;C69</f>
        <v>GoldJSC Ekaterinburg Non-Ferrous Metal Processing Plant</v>
      </c>
    </row>
    <row r="70" spans="1:28" s="277" customFormat="1" ht="27.95" customHeight="1">
      <c r="A70" s="216"/>
      <c r="B70" s="217" t="s">
        <v>1153</v>
      </c>
      <c r="C70" s="221" t="s">
        <v>1430</v>
      </c>
      <c r="D70" s="283"/>
      <c r="E70" s="217" t="str">
        <f ca="1">IF(ISERROR($V70),"",OFFSET('Smelter Look-up'!$D$4,$V70-4,0)&amp;"")</f>
        <v>RUSSIAN FEDERATION</v>
      </c>
      <c r="F70" s="217" t="str">
        <f ca="1">IF(ISERROR($V70),"",OFFSET('Smelter Look-up'!$E$4,$V70-4,0))</f>
        <v>CID000929</v>
      </c>
      <c r="G70" s="217" t="str">
        <f ca="1">IF(C70=$X$4,"Enter smelter details",IF(ISERROR($V70),"",OFFSET('Smelter Look-up'!$F$4,$V70-4,0)))</f>
        <v>RMI</v>
      </c>
      <c r="H70" s="218">
        <f ca="1">IF(ISERROR($V70),"",OFFSET('Smelter Look-up'!$G$4,$V70-4,0))</f>
        <v>0</v>
      </c>
      <c r="I70" s="219" t="str">
        <f ca="1">IF(ISERROR($V70),"",OFFSET('Smelter Look-up'!$H$4,$V70-4,0))</f>
        <v>Verkhnyaya Pyshma</v>
      </c>
      <c r="J70" s="219" t="str">
        <f ca="1">IF(ISERROR($V70),"",OFFSET('Smelter Look-up'!$I$4,$V70-4,0))</f>
        <v>Sverdlovskaya oblast'</v>
      </c>
      <c r="K70" s="273"/>
      <c r="L70" s="273"/>
      <c r="M70" s="273"/>
      <c r="N70" s="273"/>
      <c r="O70" s="273"/>
      <c r="P70" s="220"/>
      <c r="Q70" s="274"/>
      <c r="R70" s="217" t="str">
        <f ca="1">IF(ISERROR($V70),"",OFFSET('Smelter Look-up'!$C$4,$V70-4,0)&amp;"")</f>
        <v>JSC Uralelectromed</v>
      </c>
      <c r="S70" s="225" t="str">
        <f t="shared" ref="S70:S101" ca="1" si="12">IF(B70="","",IF(ISERROR(MATCH($E70,CL,0)),"Unknown",INDIRECT("'C'!$A$"&amp;MATCH($E70,CL,0)+1)))</f>
        <v>RU</v>
      </c>
      <c r="T70" s="225" t="str">
        <f ca="1">IF(B70="","",IF(ISERROR(MATCH($J70,SorP!$B$1:$B$6230,0)),"",INDIRECT("'SorP'!$A$"&amp;MATCH($J70,SorP!$B$1:$B$6230,0))))</f>
        <v>RU-SVE</v>
      </c>
      <c r="U70" s="241"/>
      <c r="V70" s="275">
        <f>IF(C70="",NA(),MATCH($B70&amp;$C70,'Smelter Look-up'!$J:$J,0))</f>
        <v>119</v>
      </c>
      <c r="W70" s="276"/>
      <c r="X70" s="276">
        <f t="shared" ref="X70:X101" ca="1" si="13">IF(AND(C70="Smelter not listed",OR(LEN(D70)=0,LEN(E70)=0)),1,0)</f>
        <v>0</v>
      </c>
      <c r="Y70" s="276"/>
      <c r="Z70" s="276"/>
      <c r="AB70" s="278" t="str">
        <f t="shared" ref="AB70:AB101" si="14">B70&amp;C70</f>
        <v>GoldJSC Uralelectromed</v>
      </c>
    </row>
    <row r="71" spans="1:28" s="277" customFormat="1" ht="27.95" customHeight="1">
      <c r="A71" s="216"/>
      <c r="B71" s="217" t="s">
        <v>1153</v>
      </c>
      <c r="C71" s="221" t="s">
        <v>57</v>
      </c>
      <c r="D71" s="283"/>
      <c r="E71" s="217" t="str">
        <f ca="1">IF(ISERROR($V71),"",OFFSET('Smelter Look-up'!$D$4,$V71-4,0)&amp;"")</f>
        <v>JAPAN</v>
      </c>
      <c r="F71" s="217" t="str">
        <f ca="1">IF(ISERROR($V71),"",OFFSET('Smelter Look-up'!$E$4,$V71-4,0))</f>
        <v>CID000937</v>
      </c>
      <c r="G71" s="217" t="str">
        <f ca="1">IF(C71=$X$4,"Enter smelter details",IF(ISERROR($V71),"",OFFSET('Smelter Look-up'!$F$4,$V71-4,0)))</f>
        <v>RMI</v>
      </c>
      <c r="H71" s="218">
        <f ca="1">IF(ISERROR($V71),"",OFFSET('Smelter Look-up'!$G$4,$V71-4,0))</f>
        <v>0</v>
      </c>
      <c r="I71" s="219" t="str">
        <f ca="1">IF(ISERROR($V71),"",OFFSET('Smelter Look-up'!$H$4,$V71-4,0))</f>
        <v>Ōita</v>
      </c>
      <c r="J71" s="219" t="str">
        <f ca="1">IF(ISERROR($V71),"",OFFSET('Smelter Look-up'!$I$4,$V71-4,0))</f>
        <v>Ôita</v>
      </c>
      <c r="K71" s="273"/>
      <c r="L71" s="273"/>
      <c r="M71" s="273"/>
      <c r="N71" s="273"/>
      <c r="O71" s="273"/>
      <c r="P71" s="220"/>
      <c r="Q71" s="274"/>
      <c r="R71" s="217" t="str">
        <f ca="1">IF(ISERROR($V71),"",OFFSET('Smelter Look-up'!$C$4,$V71-4,0)&amp;"")</f>
        <v>JX Nippon Mining &amp; Metals Co., Ltd.</v>
      </c>
      <c r="S71" s="225" t="str">
        <f t="shared" ca="1" si="12"/>
        <v>JP</v>
      </c>
      <c r="T71" s="225" t="str">
        <f ca="1">IF(B71="","",IF(ISERROR(MATCH($J71,SorP!$B$1:$B$6230,0)),"",INDIRECT("'SorP'!$A$"&amp;MATCH($J71,SorP!$B$1:$B$6230,0))))</f>
        <v>JP-44</v>
      </c>
      <c r="U71" s="241"/>
      <c r="V71" s="275">
        <f>IF(C71="",NA(),MATCH($B71&amp;$C71,'Smelter Look-up'!$J:$J,0))</f>
        <v>120</v>
      </c>
      <c r="W71" s="276"/>
      <c r="X71" s="276">
        <f t="shared" ca="1" si="13"/>
        <v>0</v>
      </c>
      <c r="Y71" s="276"/>
      <c r="Z71" s="276"/>
      <c r="AB71" s="278" t="str">
        <f t="shared" si="14"/>
        <v>GoldJX Nippon Mining &amp; Metals Co., Ltd.</v>
      </c>
    </row>
    <row r="72" spans="1:28" s="277" customFormat="1" ht="27.95" customHeight="1">
      <c r="A72" s="216"/>
      <c r="B72" s="217" t="s">
        <v>1153</v>
      </c>
      <c r="C72" s="221" t="s">
        <v>1742</v>
      </c>
      <c r="D72" s="283"/>
      <c r="E72" s="217" t="str">
        <f ca="1">IF(ISERROR($V72),"",OFFSET('Smelter Look-up'!$D$4,$V72-4,0)&amp;"")</f>
        <v>UNITED ARAB EMIRATES</v>
      </c>
      <c r="F72" s="217" t="str">
        <f ca="1">IF(ISERROR($V72),"",OFFSET('Smelter Look-up'!$E$4,$V72-4,0))</f>
        <v>CID002563</v>
      </c>
      <c r="G72" s="217" t="str">
        <f ca="1">IF(C72=$X$4,"Enter smelter details",IF(ISERROR($V72),"",OFFSET('Smelter Look-up'!$F$4,$V72-4,0)))</f>
        <v>RMI</v>
      </c>
      <c r="H72" s="218">
        <f ca="1">IF(ISERROR($V72),"",OFFSET('Smelter Look-up'!$G$4,$V72-4,0))</f>
        <v>0</v>
      </c>
      <c r="I72" s="219" t="str">
        <f ca="1">IF(ISERROR($V72),"",OFFSET('Smelter Look-up'!$H$4,$V72-4,0))</f>
        <v>Dubai</v>
      </c>
      <c r="J72" s="219" t="str">
        <f ca="1">IF(ISERROR($V72),"",OFFSET('Smelter Look-up'!$I$4,$V72-4,0))</f>
        <v>Dubayy</v>
      </c>
      <c r="K72" s="273"/>
      <c r="L72" s="273"/>
      <c r="M72" s="273"/>
      <c r="N72" s="273"/>
      <c r="O72" s="273"/>
      <c r="P72" s="220"/>
      <c r="Q72" s="274"/>
      <c r="R72" s="217" t="str">
        <f ca="1">IF(ISERROR($V72),"",OFFSET('Smelter Look-up'!$C$4,$V72-4,0)&amp;"")</f>
        <v>Kaloti Precious Metals</v>
      </c>
      <c r="S72" s="225" t="str">
        <f t="shared" ca="1" si="12"/>
        <v>AE</v>
      </c>
      <c r="T72" s="225" t="str">
        <f ca="1">IF(B72="","",IF(ISERROR(MATCH($J72,SorP!$B$1:$B$6230,0)),"",INDIRECT("'SorP'!$A$"&amp;MATCH($J72,SorP!$B$1:$B$6230,0))))</f>
        <v>AE-DU</v>
      </c>
      <c r="U72" s="241"/>
      <c r="V72" s="275">
        <f>IF(C72="",NA(),MATCH($B72&amp;$C72,'Smelter Look-up'!$J:$J,0))</f>
        <v>121</v>
      </c>
      <c r="W72" s="276"/>
      <c r="X72" s="276">
        <f t="shared" ca="1" si="13"/>
        <v>0</v>
      </c>
      <c r="Y72" s="276"/>
      <c r="Z72" s="276"/>
      <c r="AB72" s="278" t="str">
        <f t="shared" si="14"/>
        <v>GoldKaloti Precious Metals</v>
      </c>
    </row>
    <row r="73" spans="1:28" s="277" customFormat="1" ht="27.95" customHeight="1">
      <c r="A73" s="216"/>
      <c r="B73" s="217" t="s">
        <v>1153</v>
      </c>
      <c r="C73" s="221" t="s">
        <v>2303</v>
      </c>
      <c r="D73" s="283"/>
      <c r="E73" s="217" t="str">
        <f ca="1">IF(ISERROR($V73),"",OFFSET('Smelter Look-up'!$D$4,$V73-4,0)&amp;"")</f>
        <v>KAZAKHSTAN</v>
      </c>
      <c r="F73" s="217" t="str">
        <f ca="1">IF(ISERROR($V73),"",OFFSET('Smelter Look-up'!$E$4,$V73-4,0))</f>
        <v>CID000956</v>
      </c>
      <c r="G73" s="217" t="str">
        <f ca="1">IF(C73=$X$4,"Enter smelter details",IF(ISERROR($V73),"",OFFSET('Smelter Look-up'!$F$4,$V73-4,0)))</f>
        <v>RMI</v>
      </c>
      <c r="H73" s="218">
        <f ca="1">IF(ISERROR($V73),"",OFFSET('Smelter Look-up'!$G$4,$V73-4,0))</f>
        <v>0</v>
      </c>
      <c r="I73" s="219" t="str">
        <f ca="1">IF(ISERROR($V73),"",OFFSET('Smelter Look-up'!$H$4,$V73-4,0))</f>
        <v>Balkhash</v>
      </c>
      <c r="J73" s="219" t="str">
        <f ca="1">IF(ISERROR($V73),"",OFFSET('Smelter Look-up'!$I$4,$V73-4,0))</f>
        <v>Qaraghandy oblysy</v>
      </c>
      <c r="K73" s="273"/>
      <c r="L73" s="273"/>
      <c r="M73" s="273"/>
      <c r="N73" s="273"/>
      <c r="O73" s="273"/>
      <c r="P73" s="220"/>
      <c r="Q73" s="274"/>
      <c r="R73" s="217" t="str">
        <f ca="1">IF(ISERROR($V73),"",OFFSET('Smelter Look-up'!$C$4,$V73-4,0)&amp;"")</f>
        <v>Kazakhmys Smelting LLC</v>
      </c>
      <c r="S73" s="225" t="str">
        <f t="shared" ca="1" si="12"/>
        <v>KZ</v>
      </c>
      <c r="T73" s="225" t="str">
        <f ca="1">IF(B73="","",IF(ISERROR(MATCH($J73,SorP!$B$1:$B$6230,0)),"",INDIRECT("'SorP'!$A$"&amp;MATCH($J73,SorP!$B$1:$B$6230,0))))</f>
        <v>KZ-KAR</v>
      </c>
      <c r="U73" s="241"/>
      <c r="V73" s="275">
        <f>IF(C73="",NA(),MATCH($B73&amp;$C73,'Smelter Look-up'!$J:$J,0))</f>
        <v>122</v>
      </c>
      <c r="W73" s="276"/>
      <c r="X73" s="276">
        <f t="shared" ca="1" si="13"/>
        <v>0</v>
      </c>
      <c r="Y73" s="276"/>
      <c r="Z73" s="276"/>
      <c r="AB73" s="278" t="str">
        <f t="shared" si="14"/>
        <v>GoldKazakhmys Smelting LLC</v>
      </c>
    </row>
    <row r="74" spans="1:28" s="277" customFormat="1" ht="27.95" customHeight="1">
      <c r="A74" s="216"/>
      <c r="B74" s="217" t="s">
        <v>1153</v>
      </c>
      <c r="C74" s="221" t="s">
        <v>1635</v>
      </c>
      <c r="D74" s="283"/>
      <c r="E74" s="217" t="str">
        <f ca="1">IF(ISERROR($V74),"",OFFSET('Smelter Look-up'!$D$4,$V74-4,0)&amp;"")</f>
        <v>KAZAKHSTAN</v>
      </c>
      <c r="F74" s="217" t="str">
        <f ca="1">IF(ISERROR($V74),"",OFFSET('Smelter Look-up'!$E$4,$V74-4,0))</f>
        <v>CID000957</v>
      </c>
      <c r="G74" s="217" t="str">
        <f ca="1">IF(C74=$X$4,"Enter smelter details",IF(ISERROR($V74),"",OFFSET('Smelter Look-up'!$F$4,$V74-4,0)))</f>
        <v>RMI</v>
      </c>
      <c r="H74" s="218">
        <f ca="1">IF(ISERROR($V74),"",OFFSET('Smelter Look-up'!$G$4,$V74-4,0))</f>
        <v>0</v>
      </c>
      <c r="I74" s="219" t="str">
        <f ca="1">IF(ISERROR($V74),"",OFFSET('Smelter Look-up'!$H$4,$V74-4,0))</f>
        <v>Ust-Kamenogorsk</v>
      </c>
      <c r="J74" s="219" t="str">
        <f ca="1">IF(ISERROR($V74),"",OFFSET('Smelter Look-up'!$I$4,$V74-4,0))</f>
        <v>Qaraghandy oblysy</v>
      </c>
      <c r="K74" s="273"/>
      <c r="L74" s="273"/>
      <c r="M74" s="273"/>
      <c r="N74" s="273"/>
      <c r="O74" s="273"/>
      <c r="P74" s="220"/>
      <c r="Q74" s="274"/>
      <c r="R74" s="217" t="str">
        <f ca="1">IF(ISERROR($V74),"",OFFSET('Smelter Look-up'!$C$4,$V74-4,0)&amp;"")</f>
        <v>Kazzinc</v>
      </c>
      <c r="S74" s="225" t="str">
        <f t="shared" ca="1" si="12"/>
        <v>KZ</v>
      </c>
      <c r="T74" s="225" t="str">
        <f ca="1">IF(B74="","",IF(ISERROR(MATCH($J74,SorP!$B$1:$B$6230,0)),"",INDIRECT("'SorP'!$A$"&amp;MATCH($J74,SorP!$B$1:$B$6230,0))))</f>
        <v>KZ-KAR</v>
      </c>
      <c r="U74" s="241"/>
      <c r="V74" s="275">
        <f>IF(C74="",NA(),MATCH($B74&amp;$C74,'Smelter Look-up'!$J:$J,0))</f>
        <v>123</v>
      </c>
      <c r="W74" s="276"/>
      <c r="X74" s="276">
        <f t="shared" ca="1" si="13"/>
        <v>0</v>
      </c>
      <c r="Y74" s="276"/>
      <c r="Z74" s="276"/>
      <c r="AB74" s="278" t="str">
        <f t="shared" si="14"/>
        <v>GoldKazzinc</v>
      </c>
    </row>
    <row r="75" spans="1:28" s="277" customFormat="1" ht="27.95" customHeight="1">
      <c r="A75" s="216"/>
      <c r="B75" s="217" t="s">
        <v>1153</v>
      </c>
      <c r="C75" s="221" t="s">
        <v>710</v>
      </c>
      <c r="D75" s="283"/>
      <c r="E75" s="217" t="str">
        <f ca="1">IF(ISERROR($V75),"",OFFSET('Smelter Look-up'!$D$4,$V75-4,0)&amp;"")</f>
        <v>UNITED STATES OF AMERICA</v>
      </c>
      <c r="F75" s="217" t="str">
        <f ca="1">IF(ISERROR($V75),"",OFFSET('Smelter Look-up'!$E$4,$V75-4,0))</f>
        <v>CID000969</v>
      </c>
      <c r="G75" s="217" t="str">
        <f ca="1">IF(C75=$X$4,"Enter smelter details",IF(ISERROR($V75),"",OFFSET('Smelter Look-up'!$F$4,$V75-4,0)))</f>
        <v>RMI</v>
      </c>
      <c r="H75" s="218">
        <f ca="1">IF(ISERROR($V75),"",OFFSET('Smelter Look-up'!$G$4,$V75-4,0))</f>
        <v>0</v>
      </c>
      <c r="I75" s="219" t="str">
        <f ca="1">IF(ISERROR($V75),"",OFFSET('Smelter Look-up'!$H$4,$V75-4,0))</f>
        <v>Magna</v>
      </c>
      <c r="J75" s="219" t="str">
        <f ca="1">IF(ISERROR($V75),"",OFFSET('Smelter Look-up'!$I$4,$V75-4,0))</f>
        <v>Utah</v>
      </c>
      <c r="K75" s="273"/>
      <c r="L75" s="273"/>
      <c r="M75" s="273"/>
      <c r="N75" s="273"/>
      <c r="O75" s="273"/>
      <c r="P75" s="220"/>
      <c r="Q75" s="274"/>
      <c r="R75" s="217" t="str">
        <f ca="1">IF(ISERROR($V75),"",OFFSET('Smelter Look-up'!$C$4,$V75-4,0)&amp;"")</f>
        <v>Kennecott Utah Copper LLC</v>
      </c>
      <c r="S75" s="225" t="str">
        <f t="shared" ca="1" si="12"/>
        <v>US</v>
      </c>
      <c r="T75" s="225" t="str">
        <f ca="1">IF(B75="","",IF(ISERROR(MATCH($J75,SorP!$B$1:$B$6230,0)),"",INDIRECT("'SorP'!$A$"&amp;MATCH($J75,SorP!$B$1:$B$6230,0))))</f>
        <v>US-UT</v>
      </c>
      <c r="U75" s="241"/>
      <c r="V75" s="275">
        <f>IF(C75="",NA(),MATCH($B75&amp;$C75,'Smelter Look-up'!$J:$J,0))</f>
        <v>124</v>
      </c>
      <c r="W75" s="276"/>
      <c r="X75" s="276">
        <f t="shared" ca="1" si="13"/>
        <v>0</v>
      </c>
      <c r="Y75" s="276"/>
      <c r="Z75" s="276"/>
      <c r="AB75" s="278" t="str">
        <f t="shared" si="14"/>
        <v>GoldKennecott Utah Copper LLC</v>
      </c>
    </row>
    <row r="76" spans="1:28" s="277" customFormat="1" ht="27.95" customHeight="1">
      <c r="A76" s="216"/>
      <c r="B76" s="217" t="s">
        <v>1153</v>
      </c>
      <c r="C76" s="221" t="s">
        <v>1411</v>
      </c>
      <c r="D76" s="283"/>
      <c r="E76" s="217" t="str">
        <f ca="1">IF(ISERROR($V76),"",OFFSET('Smelter Look-up'!$D$4,$V76-4,0)&amp;"")</f>
        <v>POLAND</v>
      </c>
      <c r="F76" s="217" t="str">
        <f ca="1">IF(ISERROR($V76),"",OFFSET('Smelter Look-up'!$E$4,$V76-4,0))</f>
        <v>CID002511</v>
      </c>
      <c r="G76" s="217" t="str">
        <f ca="1">IF(C76=$X$4,"Enter smelter details",IF(ISERROR($V76),"",OFFSET('Smelter Look-up'!$F$4,$V76-4,0)))</f>
        <v>RMI</v>
      </c>
      <c r="H76" s="218">
        <f ca="1">IF(ISERROR($V76),"",OFFSET('Smelter Look-up'!$G$4,$V76-4,0))</f>
        <v>0</v>
      </c>
      <c r="I76" s="219" t="str">
        <f ca="1">IF(ISERROR($V76),"",OFFSET('Smelter Look-up'!$H$4,$V76-4,0))</f>
        <v>Lubin</v>
      </c>
      <c r="J76" s="219" t="str">
        <f ca="1">IF(ISERROR($V76),"",OFFSET('Smelter Look-up'!$I$4,$V76-4,0))</f>
        <v>Dolnośląskie</v>
      </c>
      <c r="K76" s="273"/>
      <c r="L76" s="273"/>
      <c r="M76" s="273"/>
      <c r="N76" s="273"/>
      <c r="O76" s="273"/>
      <c r="P76" s="220"/>
      <c r="Q76" s="274"/>
      <c r="R76" s="217" t="str">
        <f ca="1">IF(ISERROR($V76),"",OFFSET('Smelter Look-up'!$C$4,$V76-4,0)&amp;"")</f>
        <v>KGHM Polska Miedz Spolka Akcyjna</v>
      </c>
      <c r="S76" s="225" t="str">
        <f t="shared" ca="1" si="12"/>
        <v>PL</v>
      </c>
      <c r="T76" s="225" t="str">
        <f ca="1">IF(B76="","",IF(ISERROR(MATCH($J76,SorP!$B$1:$B$6230,0)),"",INDIRECT("'SorP'!$A$"&amp;MATCH($J76,SorP!$B$1:$B$6230,0))))</f>
        <v>PL-02</v>
      </c>
      <c r="U76" s="241"/>
      <c r="V76" s="275">
        <f>IF(C76="",NA(),MATCH($B76&amp;$C76,'Smelter Look-up'!$J:$J,0))</f>
        <v>127</v>
      </c>
      <c r="W76" s="276"/>
      <c r="X76" s="276">
        <f t="shared" ca="1" si="13"/>
        <v>0</v>
      </c>
      <c r="Y76" s="276"/>
      <c r="Z76" s="276"/>
      <c r="AB76" s="278" t="str">
        <f t="shared" si="14"/>
        <v>GoldKGHM Polska Miedź Spółka Akcyjna</v>
      </c>
    </row>
    <row r="77" spans="1:28" s="277" customFormat="1" ht="27.95" customHeight="1">
      <c r="A77" s="216"/>
      <c r="B77" s="217" t="s">
        <v>1153</v>
      </c>
      <c r="C77" s="221" t="s">
        <v>2252</v>
      </c>
      <c r="D77" s="283"/>
      <c r="E77" s="217" t="str">
        <f ca="1">IF(ISERROR($V77),"",OFFSET('Smelter Look-up'!$D$4,$V77-4,0)&amp;"")</f>
        <v>JAPAN</v>
      </c>
      <c r="F77" s="217" t="str">
        <f ca="1">IF(ISERROR($V77),"",OFFSET('Smelter Look-up'!$E$4,$V77-4,0))</f>
        <v>CID000981</v>
      </c>
      <c r="G77" s="217" t="str">
        <f ca="1">IF(C77=$X$4,"Enter smelter details",IF(ISERROR($V77),"",OFFSET('Smelter Look-up'!$F$4,$V77-4,0)))</f>
        <v>RMI</v>
      </c>
      <c r="H77" s="218">
        <f ca="1">IF(ISERROR($V77),"",OFFSET('Smelter Look-up'!$G$4,$V77-4,0))</f>
        <v>0</v>
      </c>
      <c r="I77" s="219" t="str">
        <f ca="1">IF(ISERROR($V77),"",OFFSET('Smelter Look-up'!$H$4,$V77-4,0))</f>
        <v>Sayama</v>
      </c>
      <c r="J77" s="219" t="str">
        <f ca="1">IF(ISERROR($V77),"",OFFSET('Smelter Look-up'!$I$4,$V77-4,0))</f>
        <v>Saitama</v>
      </c>
      <c r="K77" s="273"/>
      <c r="L77" s="273"/>
      <c r="M77" s="273"/>
      <c r="N77" s="273"/>
      <c r="O77" s="273"/>
      <c r="P77" s="220"/>
      <c r="Q77" s="274"/>
      <c r="R77" s="217" t="str">
        <f ca="1">IF(ISERROR($V77),"",OFFSET('Smelter Look-up'!$C$4,$V77-4,0)&amp;"")</f>
        <v>Kojima Chemicals Co., Ltd.</v>
      </c>
      <c r="S77" s="225" t="str">
        <f t="shared" ca="1" si="12"/>
        <v>JP</v>
      </c>
      <c r="T77" s="225" t="str">
        <f ca="1">IF(B77="","",IF(ISERROR(MATCH($J77,SorP!$B$1:$B$6230,0)),"",INDIRECT("'SorP'!$A$"&amp;MATCH($J77,SorP!$B$1:$B$6230,0))))</f>
        <v>JP-11</v>
      </c>
      <c r="U77" s="241"/>
      <c r="V77" s="275">
        <f>IF(C77="",NA(),MATCH($B77&amp;$C77,'Smelter Look-up'!$J:$J,0))</f>
        <v>128</v>
      </c>
      <c r="W77" s="276"/>
      <c r="X77" s="276">
        <f t="shared" ca="1" si="13"/>
        <v>0</v>
      </c>
      <c r="Y77" s="276"/>
      <c r="Z77" s="276"/>
      <c r="AB77" s="278" t="str">
        <f t="shared" si="14"/>
        <v>GoldKojima Chemicals Co., Ltd.</v>
      </c>
    </row>
    <row r="78" spans="1:28" s="277" customFormat="1" ht="27.95" customHeight="1">
      <c r="A78" s="216"/>
      <c r="B78" s="217" t="s">
        <v>1153</v>
      </c>
      <c r="C78" s="221" t="s">
        <v>2428</v>
      </c>
      <c r="D78" s="283"/>
      <c r="E78" s="217" t="str">
        <f ca="1">IF(ISERROR($V78),"",OFFSET('Smelter Look-up'!$D$4,$V78-4,0)&amp;"")</f>
        <v>KOREA, REPUBLIC OF</v>
      </c>
      <c r="F78" s="217" t="str">
        <f ca="1">IF(ISERROR($V78),"",OFFSET('Smelter Look-up'!$E$4,$V78-4,0))</f>
        <v>CID002605</v>
      </c>
      <c r="G78" s="217" t="str">
        <f ca="1">IF(C78=$X$4,"Enter smelter details",IF(ISERROR($V78),"",OFFSET('Smelter Look-up'!$F$4,$V78-4,0)))</f>
        <v>RMI</v>
      </c>
      <c r="H78" s="218">
        <f ca="1">IF(ISERROR($V78),"",OFFSET('Smelter Look-up'!$G$4,$V78-4,0))</f>
        <v>0</v>
      </c>
      <c r="I78" s="219" t="str">
        <f ca="1">IF(ISERROR($V78),"",OFFSET('Smelter Look-up'!$H$4,$V78-4,0))</f>
        <v>Gangnam</v>
      </c>
      <c r="J78" s="219" t="str">
        <f ca="1">IF(ISERROR($V78),"",OFFSET('Smelter Look-up'!$I$4,$V78-4,0))</f>
        <v>Seoul-teukbyeolsi</v>
      </c>
      <c r="K78" s="273"/>
      <c r="L78" s="273"/>
      <c r="M78" s="273"/>
      <c r="N78" s="273"/>
      <c r="O78" s="273"/>
      <c r="P78" s="220"/>
      <c r="Q78" s="274"/>
      <c r="R78" s="217" t="str">
        <f ca="1">IF(ISERROR($V78),"",OFFSET('Smelter Look-up'!$C$4,$V78-4,0)&amp;"")</f>
        <v>Korea Zinc Co., Ltd.</v>
      </c>
      <c r="S78" s="225" t="str">
        <f t="shared" ca="1" si="12"/>
        <v>KR</v>
      </c>
      <c r="T78" s="225" t="str">
        <f ca="1">IF(B78="","",IF(ISERROR(MATCH($J78,SorP!$B$1:$B$6230,0)),"",INDIRECT("'SorP'!$A$"&amp;MATCH($J78,SorP!$B$1:$B$6230,0))))</f>
        <v>KR-11</v>
      </c>
      <c r="U78" s="241"/>
      <c r="V78" s="275">
        <f>IF(C78="",NA(),MATCH($B78&amp;$C78,'Smelter Look-up'!$J:$J,0))</f>
        <v>131</v>
      </c>
      <c r="W78" s="276"/>
      <c r="X78" s="276">
        <f t="shared" ca="1" si="13"/>
        <v>0</v>
      </c>
      <c r="Y78" s="276"/>
      <c r="Z78" s="276"/>
      <c r="AB78" s="278" t="str">
        <f t="shared" si="14"/>
        <v>GoldKorea Zinc Co., Ltd.</v>
      </c>
    </row>
    <row r="79" spans="1:28" s="277" customFormat="1" ht="27.95" customHeight="1">
      <c r="A79" s="216"/>
      <c r="B79" s="217" t="s">
        <v>1153</v>
      </c>
      <c r="C79" s="221" t="s">
        <v>14218</v>
      </c>
      <c r="D79" s="283"/>
      <c r="E79" s="217" t="str">
        <f ca="1">IF(ISERROR($V79),"",OFFSET('Smelter Look-up'!$D$4,$V79-4,0)&amp;"")</f>
        <v>INDIA</v>
      </c>
      <c r="F79" s="217" t="str">
        <f ca="1">IF(ISERROR($V79),"",OFFSET('Smelter Look-up'!$E$4,$V79-4,0))</f>
        <v>CID003463</v>
      </c>
      <c r="G79" s="217" t="str">
        <f ca="1">IF(C79=$X$4,"Enter smelter details",IF(ISERROR($V79),"",OFFSET('Smelter Look-up'!$F$4,$V79-4,0)))</f>
        <v>RMI</v>
      </c>
      <c r="H79" s="218">
        <f ca="1">IF(ISERROR($V79),"",OFFSET('Smelter Look-up'!$G$4,$V79-4,0))</f>
        <v>0</v>
      </c>
      <c r="I79" s="219" t="str">
        <f ca="1">IF(ISERROR($V79),"",OFFSET('Smelter Look-up'!$H$4,$V79-4,0))</f>
        <v>Haridwar</v>
      </c>
      <c r="J79" s="219" t="str">
        <f ca="1">IF(ISERROR($V79),"",OFFSET('Smelter Look-up'!$I$4,$V79-4,0))</f>
        <v>Uttarakhand</v>
      </c>
      <c r="K79" s="273"/>
      <c r="L79" s="273"/>
      <c r="M79" s="273"/>
      <c r="N79" s="273"/>
      <c r="O79" s="273"/>
      <c r="P79" s="220"/>
      <c r="Q79" s="274"/>
      <c r="R79" s="217" t="str">
        <f ca="1">IF(ISERROR($V79),"",OFFSET('Smelter Look-up'!$C$4,$V79-4,0)&amp;"")</f>
        <v>Kundan Care Products Ltd.</v>
      </c>
      <c r="S79" s="225" t="str">
        <f t="shared" ca="1" si="12"/>
        <v>IN</v>
      </c>
      <c r="T79" s="225" t="str">
        <f ca="1">IF(B79="","",IF(ISERROR(MATCH($J79,SorP!$B$1:$B$6230,0)),"",INDIRECT("'SorP'!$A$"&amp;MATCH($J79,SorP!$B$1:$B$6230,0))))</f>
        <v>IN-UT</v>
      </c>
      <c r="U79" s="241"/>
      <c r="V79" s="275">
        <f>IF(C79="",NA(),MATCH($B79&amp;$C79,'Smelter Look-up'!$J:$J,0))</f>
        <v>133</v>
      </c>
      <c r="W79" s="276"/>
      <c r="X79" s="276">
        <f t="shared" ca="1" si="13"/>
        <v>0</v>
      </c>
      <c r="Y79" s="276"/>
      <c r="Z79" s="276"/>
      <c r="AB79" s="278" t="str">
        <f t="shared" si="14"/>
        <v>GoldKundan Care Products Ltd.</v>
      </c>
    </row>
    <row r="80" spans="1:28" s="277" customFormat="1" ht="27.95" customHeight="1">
      <c r="A80" s="216"/>
      <c r="B80" s="217" t="s">
        <v>1153</v>
      </c>
      <c r="C80" s="221" t="s">
        <v>869</v>
      </c>
      <c r="D80" s="283"/>
      <c r="E80" s="217" t="str">
        <f ca="1">IF(ISERROR($V80),"",OFFSET('Smelter Look-up'!$D$4,$V80-4,0)&amp;"")</f>
        <v>KYRGYZSTAN</v>
      </c>
      <c r="F80" s="217" t="str">
        <f ca="1">IF(ISERROR($V80),"",OFFSET('Smelter Look-up'!$E$4,$V80-4,0))</f>
        <v>CID001029</v>
      </c>
      <c r="G80" s="217" t="str">
        <f ca="1">IF(C80=$X$4,"Enter smelter details",IF(ISERROR($V80),"",OFFSET('Smelter Look-up'!$F$4,$V80-4,0)))</f>
        <v>RMI</v>
      </c>
      <c r="H80" s="218">
        <f ca="1">IF(ISERROR($V80),"",OFFSET('Smelter Look-up'!$G$4,$V80-4,0))</f>
        <v>0</v>
      </c>
      <c r="I80" s="219" t="str">
        <f ca="1">IF(ISERROR($V80),"",OFFSET('Smelter Look-up'!$H$4,$V80-4,0))</f>
        <v>Bishkek</v>
      </c>
      <c r="J80" s="219" t="str">
        <f ca="1">IF(ISERROR($V80),"",OFFSET('Smelter Look-up'!$I$4,$V80-4,0))</f>
        <v>Chüy</v>
      </c>
      <c r="K80" s="273"/>
      <c r="L80" s="273"/>
      <c r="M80" s="273"/>
      <c r="N80" s="273"/>
      <c r="O80" s="273"/>
      <c r="P80" s="220"/>
      <c r="Q80" s="274"/>
      <c r="R80" s="217" t="str">
        <f ca="1">IF(ISERROR($V80),"",OFFSET('Smelter Look-up'!$C$4,$V80-4,0)&amp;"")</f>
        <v>Kyrgyzaltyn JSC</v>
      </c>
      <c r="S80" s="225" t="str">
        <f t="shared" ca="1" si="12"/>
        <v>KG</v>
      </c>
      <c r="T80" s="225" t="str">
        <f ca="1">IF(B80="","",IF(ISERROR(MATCH($J80,SorP!$B$1:$B$6230,0)),"",INDIRECT("'SorP'!$A$"&amp;MATCH($J80,SorP!$B$1:$B$6230,0))))</f>
        <v>KG-C</v>
      </c>
      <c r="U80" s="241"/>
      <c r="V80" s="275">
        <f>IF(C80="",NA(),MATCH($B80&amp;$C80,'Smelter Look-up'!$J:$J,0))</f>
        <v>134</v>
      </c>
      <c r="W80" s="276"/>
      <c r="X80" s="276">
        <f t="shared" ca="1" si="13"/>
        <v>0</v>
      </c>
      <c r="Y80" s="276"/>
      <c r="Z80" s="276"/>
      <c r="AB80" s="278" t="str">
        <f t="shared" si="14"/>
        <v>GoldKyrgyzaltyn JSC</v>
      </c>
    </row>
    <row r="81" spans="1:28" s="277" customFormat="1" ht="27.95" customHeight="1">
      <c r="A81" s="216"/>
      <c r="B81" s="217" t="s">
        <v>1153</v>
      </c>
      <c r="C81" s="221" t="s">
        <v>2653</v>
      </c>
      <c r="D81" s="283"/>
      <c r="E81" s="217" t="str">
        <f ca="1">IF(ISERROR($V81),"",OFFSET('Smelter Look-up'!$D$4,$V81-4,0)&amp;"")</f>
        <v>RUSSIAN FEDERATION</v>
      </c>
      <c r="F81" s="217" t="str">
        <f ca="1">IF(ISERROR($V81),"",OFFSET('Smelter Look-up'!$E$4,$V81-4,0))</f>
        <v>CID002865</v>
      </c>
      <c r="G81" s="217" t="str">
        <f ca="1">IF(C81=$X$4,"Enter smelter details",IF(ISERROR($V81),"",OFFSET('Smelter Look-up'!$F$4,$V81-4,0)))</f>
        <v>RMI</v>
      </c>
      <c r="H81" s="218">
        <f ca="1">IF(ISERROR($V81),"",OFFSET('Smelter Look-up'!$G$4,$V81-4,0))</f>
        <v>0</v>
      </c>
      <c r="I81" s="219" t="str">
        <f ca="1">IF(ISERROR($V81),"",OFFSET('Smelter Look-up'!$H$4,$V81-4,0))</f>
        <v>Kyshtym</v>
      </c>
      <c r="J81" s="219" t="str">
        <f ca="1">IF(ISERROR($V81),"",OFFSET('Smelter Look-up'!$I$4,$V81-4,0))</f>
        <v>Chelyabinskaya oblast'</v>
      </c>
      <c r="K81" s="273"/>
      <c r="L81" s="273"/>
      <c r="M81" s="273"/>
      <c r="N81" s="273"/>
      <c r="O81" s="273"/>
      <c r="P81" s="220"/>
      <c r="Q81" s="274"/>
      <c r="R81" s="217" t="str">
        <f ca="1">IF(ISERROR($V81),"",OFFSET('Smelter Look-up'!$C$4,$V81-4,0)&amp;"")</f>
        <v>Kyshtym Copper-Electrolytic Plant ZAO</v>
      </c>
      <c r="S81" s="225" t="str">
        <f t="shared" ca="1" si="12"/>
        <v>RU</v>
      </c>
      <c r="T81" s="225" t="str">
        <f ca="1">IF(B81="","",IF(ISERROR(MATCH($J81,SorP!$B$1:$B$6230,0)),"",INDIRECT("'SorP'!$A$"&amp;MATCH($J81,SorP!$B$1:$B$6230,0))))</f>
        <v>RU-CHE</v>
      </c>
      <c r="U81" s="241"/>
      <c r="V81" s="275">
        <f>IF(C81="",NA(),MATCH($B81&amp;$C81,'Smelter Look-up'!$J:$J,0))</f>
        <v>135</v>
      </c>
      <c r="W81" s="276"/>
      <c r="X81" s="276">
        <f t="shared" ca="1" si="13"/>
        <v>0</v>
      </c>
      <c r="Y81" s="276"/>
      <c r="Z81" s="276"/>
      <c r="AB81" s="278" t="str">
        <f t="shared" si="14"/>
        <v>GoldKyshtym Copper-Electrolytic Plant ZAO</v>
      </c>
    </row>
    <row r="82" spans="1:28" s="277" customFormat="1" ht="27.95" customHeight="1">
      <c r="A82" s="216"/>
      <c r="B82" s="217" t="s">
        <v>1153</v>
      </c>
      <c r="C82" s="221" t="s">
        <v>2429</v>
      </c>
      <c r="D82" s="283"/>
      <c r="E82" s="217" t="str">
        <f ca="1">IF(ISERROR($V82),"",OFFSET('Smelter Look-up'!$D$4,$V82-4,0)&amp;"")</f>
        <v>SAUDI ARABIA</v>
      </c>
      <c r="F82" s="217" t="str">
        <f ca="1">IF(ISERROR($V82),"",OFFSET('Smelter Look-up'!$E$4,$V82-4,0))</f>
        <v>CID001032</v>
      </c>
      <c r="G82" s="217" t="str">
        <f ca="1">IF(C82=$X$4,"Enter smelter details",IF(ISERROR($V82),"",OFFSET('Smelter Look-up'!$F$4,$V82-4,0)))</f>
        <v>RMI</v>
      </c>
      <c r="H82" s="218">
        <f ca="1">IF(ISERROR($V82),"",OFFSET('Smelter Look-up'!$G$4,$V82-4,0))</f>
        <v>0</v>
      </c>
      <c r="I82" s="219" t="str">
        <f ca="1">IF(ISERROR($V82),"",OFFSET('Smelter Look-up'!$H$4,$V82-4,0))</f>
        <v>Riyadh</v>
      </c>
      <c r="J82" s="219" t="str">
        <f ca="1">IF(ISERROR($V82),"",OFFSET('Smelter Look-up'!$I$4,$V82-4,0))</f>
        <v>Ar Riyāḑ</v>
      </c>
      <c r="K82" s="273"/>
      <c r="L82" s="273"/>
      <c r="M82" s="273"/>
      <c r="N82" s="273"/>
      <c r="O82" s="273"/>
      <c r="P82" s="220"/>
      <c r="Q82" s="274"/>
      <c r="R82" s="217" t="str">
        <f ca="1">IF(ISERROR($V82),"",OFFSET('Smelter Look-up'!$C$4,$V82-4,0)&amp;"")</f>
        <v>L'azurde Company For Jewelry</v>
      </c>
      <c r="S82" s="225" t="str">
        <f t="shared" ca="1" si="12"/>
        <v>SA</v>
      </c>
      <c r="T82" s="225" t="str">
        <f ca="1">IF(B82="","",IF(ISERROR(MATCH($J82,SorP!$B$1:$B$6230,0)),"",INDIRECT("'SorP'!$A$"&amp;MATCH($J82,SorP!$B$1:$B$6230,0))))</f>
        <v>SA-01</v>
      </c>
      <c r="U82" s="241"/>
      <c r="V82" s="275">
        <f>IF(C82="",NA(),MATCH($B82&amp;$C82,'Smelter Look-up'!$J:$J,0))</f>
        <v>138</v>
      </c>
      <c r="W82" s="276"/>
      <c r="X82" s="276">
        <f t="shared" ca="1" si="13"/>
        <v>0</v>
      </c>
      <c r="Y82" s="276"/>
      <c r="Z82" s="276"/>
      <c r="AB82" s="278" t="str">
        <f t="shared" si="14"/>
        <v>GoldL'azurde Company For Jewelry</v>
      </c>
    </row>
    <row r="83" spans="1:28" s="277" customFormat="1" ht="27.95" customHeight="1">
      <c r="A83" s="216"/>
      <c r="B83" s="217" t="s">
        <v>1153</v>
      </c>
      <c r="C83" s="221" t="s">
        <v>2583</v>
      </c>
      <c r="D83" s="283"/>
      <c r="E83" s="217" t="str">
        <f ca="1">IF(ISERROR($V83),"",OFFSET('Smelter Look-up'!$D$4,$V83-4,0)&amp;"")</f>
        <v>ANDORRA</v>
      </c>
      <c r="F83" s="217" t="str">
        <f ca="1">IF(ISERROR($V83),"",OFFSET('Smelter Look-up'!$E$4,$V83-4,0))</f>
        <v>CID002762</v>
      </c>
      <c r="G83" s="217" t="str">
        <f ca="1">IF(C83=$X$4,"Enter smelter details",IF(ISERROR($V83),"",OFFSET('Smelter Look-up'!$F$4,$V83-4,0)))</f>
        <v>RMI</v>
      </c>
      <c r="H83" s="218">
        <f ca="1">IF(ISERROR($V83),"",OFFSET('Smelter Look-up'!$G$4,$V83-4,0))</f>
        <v>0</v>
      </c>
      <c r="I83" s="219" t="str">
        <f ca="1">IF(ISERROR($V83),"",OFFSET('Smelter Look-up'!$H$4,$V83-4,0))</f>
        <v>Andorra la Vella</v>
      </c>
      <c r="J83" s="219" t="str">
        <f ca="1">IF(ISERROR($V83),"",OFFSET('Smelter Look-up'!$I$4,$V83-4,0))</f>
        <v>Andorra la Vella</v>
      </c>
      <c r="K83" s="273"/>
      <c r="L83" s="273"/>
      <c r="M83" s="273"/>
      <c r="N83" s="273"/>
      <c r="O83" s="273"/>
      <c r="P83" s="220"/>
      <c r="Q83" s="274"/>
      <c r="R83" s="217" t="str">
        <f ca="1">IF(ISERROR($V83),"",OFFSET('Smelter Look-up'!$C$4,$V83-4,0)&amp;"")</f>
        <v>L'Orfebre S.A.</v>
      </c>
      <c r="S83" s="225" t="str">
        <f t="shared" ca="1" si="12"/>
        <v>AD</v>
      </c>
      <c r="T83" s="225" t="str">
        <f ca="1">IF(B83="","",IF(ISERROR(MATCH($J83,SorP!$B$1:$B$6230,0)),"",INDIRECT("'SorP'!$A$"&amp;MATCH($J83,SorP!$B$1:$B$6230,0))))</f>
        <v>AD-07</v>
      </c>
      <c r="U83" s="241"/>
      <c r="V83" s="275">
        <f>IF(C83="",NA(),MATCH($B83&amp;$C83,'Smelter Look-up'!$J:$J,0))</f>
        <v>142</v>
      </c>
      <c r="W83" s="276"/>
      <c r="X83" s="276">
        <f t="shared" ca="1" si="13"/>
        <v>0</v>
      </c>
      <c r="Y83" s="276"/>
      <c r="Z83" s="276"/>
      <c r="AB83" s="278" t="str">
        <f t="shared" si="14"/>
        <v>GoldL'Orfebre S.A.</v>
      </c>
    </row>
    <row r="84" spans="1:28" s="277" customFormat="1" ht="27.95" customHeight="1">
      <c r="A84" s="216"/>
      <c r="B84" s="217" t="s">
        <v>1153</v>
      </c>
      <c r="C84" s="221" t="s">
        <v>2430</v>
      </c>
      <c r="D84" s="283"/>
      <c r="E84" s="217" t="str">
        <f ca="1">IF(ISERROR($V84),"",OFFSET('Smelter Look-up'!$D$4,$V84-4,0)&amp;"")</f>
        <v>CHINA</v>
      </c>
      <c r="F84" s="217" t="str">
        <f ca="1">IF(ISERROR($V84),"",OFFSET('Smelter Look-up'!$E$4,$V84-4,0))</f>
        <v>CID001056</v>
      </c>
      <c r="G84" s="217" t="str">
        <f ca="1">IF(C84=$X$4,"Enter smelter details",IF(ISERROR($V84),"",OFFSET('Smelter Look-up'!$F$4,$V84-4,0)))</f>
        <v>RMI</v>
      </c>
      <c r="H84" s="218">
        <f ca="1">IF(ISERROR($V84),"",OFFSET('Smelter Look-up'!$G$4,$V84-4,0))</f>
        <v>0</v>
      </c>
      <c r="I84" s="219" t="str">
        <f ca="1">IF(ISERROR($V84),"",OFFSET('Smelter Look-up'!$H$4,$V84-4,0))</f>
        <v>Lingbao</v>
      </c>
      <c r="J84" s="219" t="str">
        <f ca="1">IF(ISERROR($V84),"",OFFSET('Smelter Look-up'!$I$4,$V84-4,0))</f>
        <v>Henan Sheng</v>
      </c>
      <c r="K84" s="273"/>
      <c r="L84" s="273"/>
      <c r="M84" s="273"/>
      <c r="N84" s="273"/>
      <c r="O84" s="273"/>
      <c r="P84" s="220"/>
      <c r="Q84" s="274"/>
      <c r="R84" s="217" t="str">
        <f ca="1">IF(ISERROR($V84),"",OFFSET('Smelter Look-up'!$C$4,$V84-4,0)&amp;"")</f>
        <v>Lingbao Gold Co., Ltd.</v>
      </c>
      <c r="S84" s="225" t="str">
        <f t="shared" ca="1" si="12"/>
        <v>CN</v>
      </c>
      <c r="T84" s="225" t="str">
        <f ca="1">IF(B84="","",IF(ISERROR(MATCH($J84,SorP!$B$1:$B$6230,0)),"",INDIRECT("'SorP'!$A$"&amp;MATCH($J84,SorP!$B$1:$B$6230,0))))</f>
        <v>CN-HA</v>
      </c>
      <c r="U84" s="241"/>
      <c r="V84" s="275">
        <f>IF(C84="",NA(),MATCH($B84&amp;$C84,'Smelter Look-up'!$J:$J,0))</f>
        <v>140</v>
      </c>
      <c r="W84" s="276"/>
      <c r="X84" s="276">
        <f t="shared" ca="1" si="13"/>
        <v>0</v>
      </c>
      <c r="Y84" s="276"/>
      <c r="Z84" s="276"/>
      <c r="AB84" s="278" t="str">
        <f t="shared" si="14"/>
        <v>GoldLingbao Gold Co., Ltd.</v>
      </c>
    </row>
    <row r="85" spans="1:28" s="277" customFormat="1" ht="27.95" customHeight="1">
      <c r="A85" s="216"/>
      <c r="B85" s="217" t="s">
        <v>1153</v>
      </c>
      <c r="C85" s="221" t="s">
        <v>2253</v>
      </c>
      <c r="D85" s="283"/>
      <c r="E85" s="217" t="str">
        <f ca="1">IF(ISERROR($V85),"",OFFSET('Smelter Look-up'!$D$4,$V85-4,0)&amp;"")</f>
        <v>CHINA</v>
      </c>
      <c r="F85" s="217" t="str">
        <f ca="1">IF(ISERROR($V85),"",OFFSET('Smelter Look-up'!$E$4,$V85-4,0))</f>
        <v>CID001058</v>
      </c>
      <c r="G85" s="217" t="str">
        <f ca="1">IF(C85=$X$4,"Enter smelter details",IF(ISERROR($V85),"",OFFSET('Smelter Look-up'!$F$4,$V85-4,0)))</f>
        <v>RMI</v>
      </c>
      <c r="H85" s="218">
        <f ca="1">IF(ISERROR($V85),"",OFFSET('Smelter Look-up'!$G$4,$V85-4,0))</f>
        <v>0</v>
      </c>
      <c r="I85" s="219" t="str">
        <f ca="1">IF(ISERROR($V85),"",OFFSET('Smelter Look-up'!$H$4,$V85-4,0))</f>
        <v>Lingbao</v>
      </c>
      <c r="J85" s="219" t="str">
        <f ca="1">IF(ISERROR($V85),"",OFFSET('Smelter Look-up'!$I$4,$V85-4,0))</f>
        <v>Henan Sheng</v>
      </c>
      <c r="K85" s="273"/>
      <c r="L85" s="273"/>
      <c r="M85" s="273"/>
      <c r="N85" s="273"/>
      <c r="O85" s="273"/>
      <c r="P85" s="220"/>
      <c r="Q85" s="274"/>
      <c r="R85" s="217" t="str">
        <f ca="1">IF(ISERROR($V85),"",OFFSET('Smelter Look-up'!$C$4,$V85-4,0)&amp;"")</f>
        <v>Lingbao Jinyuan Tonghui Refinery Co., Ltd.</v>
      </c>
      <c r="S85" s="225" t="str">
        <f t="shared" ca="1" si="12"/>
        <v>CN</v>
      </c>
      <c r="T85" s="225" t="str">
        <f ca="1">IF(B85="","",IF(ISERROR(MATCH($J85,SorP!$B$1:$B$6230,0)),"",INDIRECT("'SorP'!$A$"&amp;MATCH($J85,SorP!$B$1:$B$6230,0))))</f>
        <v>CN-HA</v>
      </c>
      <c r="U85" s="241"/>
      <c r="V85" s="275">
        <f>IF(C85="",NA(),MATCH($B85&amp;$C85,'Smelter Look-up'!$J:$J,0))</f>
        <v>141</v>
      </c>
      <c r="W85" s="276"/>
      <c r="X85" s="276">
        <f t="shared" ca="1" si="13"/>
        <v>0</v>
      </c>
      <c r="Y85" s="276"/>
      <c r="Z85" s="276"/>
      <c r="AB85" s="278" t="str">
        <f t="shared" si="14"/>
        <v>GoldLingbao Jinyuan Tonghui Refinery Co., Ltd.</v>
      </c>
    </row>
    <row r="86" spans="1:28" s="277" customFormat="1" ht="27.95" customHeight="1">
      <c r="A86" s="216"/>
      <c r="B86" s="217" t="s">
        <v>1153</v>
      </c>
      <c r="C86" s="221" t="s">
        <v>58</v>
      </c>
      <c r="D86" s="283"/>
      <c r="E86" s="217" t="str">
        <f ca="1">IF(ISERROR($V86),"",OFFSET('Smelter Look-up'!$D$4,$V86-4,0)&amp;"")</f>
        <v>KOREA, REPUBLIC OF</v>
      </c>
      <c r="F86" s="217" t="str">
        <f ca="1">IF(ISERROR($V86),"",OFFSET('Smelter Look-up'!$E$4,$V86-4,0))</f>
        <v>CID001078</v>
      </c>
      <c r="G86" s="217" t="str">
        <f ca="1">IF(C86=$X$4,"Enter smelter details",IF(ISERROR($V86),"",OFFSET('Smelter Look-up'!$F$4,$V86-4,0)))</f>
        <v>RMI</v>
      </c>
      <c r="H86" s="218">
        <f ca="1">IF(ISERROR($V86),"",OFFSET('Smelter Look-up'!$G$4,$V86-4,0))</f>
        <v>0</v>
      </c>
      <c r="I86" s="219" t="str">
        <f ca="1">IF(ISERROR($V86),"",OFFSET('Smelter Look-up'!$H$4,$V86-4,0))</f>
        <v>Onsan-eup</v>
      </c>
      <c r="J86" s="219" t="str">
        <f ca="1">IF(ISERROR($V86),"",OFFSET('Smelter Look-up'!$I$4,$V86-4,0))</f>
        <v>Ulsan-gwangyeoksi</v>
      </c>
      <c r="K86" s="273"/>
      <c r="L86" s="273"/>
      <c r="M86" s="273"/>
      <c r="N86" s="273"/>
      <c r="O86" s="273"/>
      <c r="P86" s="220"/>
      <c r="Q86" s="274"/>
      <c r="R86" s="217" t="str">
        <f ca="1">IF(ISERROR($V86),"",OFFSET('Smelter Look-up'!$C$4,$V86-4,0)&amp;"")</f>
        <v>LS-NIKKO Copper Inc.</v>
      </c>
      <c r="S86" s="225" t="str">
        <f t="shared" ca="1" si="12"/>
        <v>KR</v>
      </c>
      <c r="T86" s="225" t="str">
        <f ca="1">IF(B86="","",IF(ISERROR(MATCH($J86,SorP!$B$1:$B$6230,0)),"",INDIRECT("'SorP'!$A$"&amp;MATCH($J86,SorP!$B$1:$B$6230,0))))</f>
        <v>KR-31</v>
      </c>
      <c r="U86" s="241"/>
      <c r="V86" s="275">
        <f>IF(C86="",NA(),MATCH($B86&amp;$C86,'Smelter Look-up'!$J:$J,0))</f>
        <v>143</v>
      </c>
      <c r="W86" s="276"/>
      <c r="X86" s="276">
        <f t="shared" ca="1" si="13"/>
        <v>0</v>
      </c>
      <c r="Y86" s="276"/>
      <c r="Z86" s="276"/>
      <c r="AB86" s="278" t="str">
        <f t="shared" si="14"/>
        <v>GoldLS-NIKKO Copper Inc.</v>
      </c>
    </row>
    <row r="87" spans="1:28" s="277" customFormat="1" ht="27.95" customHeight="1">
      <c r="A87" s="216"/>
      <c r="B87" s="217" t="s">
        <v>1153</v>
      </c>
      <c r="C87" s="221" t="s">
        <v>14213</v>
      </c>
      <c r="D87" s="283"/>
      <c r="E87" s="217" t="str">
        <f ca="1">IF(ISERROR($V87),"",OFFSET('Smelter Look-up'!$D$4,$V87-4,0)&amp;"")</f>
        <v>KOREA, REPUBLIC OF</v>
      </c>
      <c r="F87" s="217" t="str">
        <f ca="1">IF(ISERROR($V87),"",OFFSET('Smelter Look-up'!$E$4,$V87-4,0))</f>
        <v>CID000689</v>
      </c>
      <c r="G87" s="217" t="str">
        <f ca="1">IF(C87=$X$4,"Enter smelter details",IF(ISERROR($V87),"",OFFSET('Smelter Look-up'!$F$4,$V87-4,0)))</f>
        <v>RMI</v>
      </c>
      <c r="H87" s="218">
        <f ca="1">IF(ISERROR($V87),"",OFFSET('Smelter Look-up'!$G$4,$V87-4,0))</f>
        <v>0</v>
      </c>
      <c r="I87" s="219" t="str">
        <f ca="1">IF(ISERROR($V87),"",OFFSET('Smelter Look-up'!$H$4,$V87-4,0))</f>
        <v>Seo-gu</v>
      </c>
      <c r="J87" s="219" t="str">
        <f ca="1">IF(ISERROR($V87),"",OFFSET('Smelter Look-up'!$I$4,$V87-4,0))</f>
        <v>Incheon-gwangyeoksi</v>
      </c>
      <c r="K87" s="273"/>
      <c r="L87" s="273"/>
      <c r="M87" s="273"/>
      <c r="N87" s="273"/>
      <c r="O87" s="273"/>
      <c r="P87" s="220"/>
      <c r="Q87" s="274"/>
      <c r="R87" s="217" t="str">
        <f ca="1">IF(ISERROR($V87),"",OFFSET('Smelter Look-up'!$C$4,$V87-4,0)&amp;"")</f>
        <v>LT Metal Ltd.</v>
      </c>
      <c r="S87" s="225" t="str">
        <f t="shared" ca="1" si="12"/>
        <v>KR</v>
      </c>
      <c r="T87" s="225" t="str">
        <f ca="1">IF(B87="","",IF(ISERROR(MATCH($J87,SorP!$B$1:$B$6230,0)),"",INDIRECT("'SorP'!$A$"&amp;MATCH($J87,SorP!$B$1:$B$6230,0))))</f>
        <v>KR-28</v>
      </c>
      <c r="U87" s="241"/>
      <c r="V87" s="275">
        <f>IF(C87="",NA(),MATCH($B87&amp;$C87,'Smelter Look-up'!$J:$J,0))</f>
        <v>144</v>
      </c>
      <c r="W87" s="276"/>
      <c r="X87" s="276">
        <f t="shared" ca="1" si="13"/>
        <v>0</v>
      </c>
      <c r="Y87" s="276"/>
      <c r="Z87" s="276"/>
      <c r="AB87" s="278" t="str">
        <f t="shared" si="14"/>
        <v>GoldLT Metal Ltd.</v>
      </c>
    </row>
    <row r="88" spans="1:28" s="277" customFormat="1" ht="27.95" customHeight="1">
      <c r="A88" s="216"/>
      <c r="B88" s="217" t="s">
        <v>1153</v>
      </c>
      <c r="C88" s="221" t="s">
        <v>1644</v>
      </c>
      <c r="D88" s="283"/>
      <c r="E88" s="217" t="str">
        <f ca="1">IF(ISERROR($V88),"",OFFSET('Smelter Look-up'!$D$4,$V88-4,0)&amp;"")</f>
        <v>CHINA</v>
      </c>
      <c r="F88" s="217" t="str">
        <f ca="1">IF(ISERROR($V88),"",OFFSET('Smelter Look-up'!$E$4,$V88-4,0))</f>
        <v>CID001093</v>
      </c>
      <c r="G88" s="217" t="str">
        <f ca="1">IF(C88=$X$4,"Enter smelter details",IF(ISERROR($V88),"",OFFSET('Smelter Look-up'!$F$4,$V88-4,0)))</f>
        <v>RMI</v>
      </c>
      <c r="H88" s="218">
        <f ca="1">IF(ISERROR($V88),"",OFFSET('Smelter Look-up'!$G$4,$V88-4,0))</f>
        <v>0</v>
      </c>
      <c r="I88" s="219" t="str">
        <f ca="1">IF(ISERROR($V88),"",OFFSET('Smelter Look-up'!$H$4,$V88-4,0))</f>
        <v>Luoyang</v>
      </c>
      <c r="J88" s="219" t="str">
        <f ca="1">IF(ISERROR($V88),"",OFFSET('Smelter Look-up'!$I$4,$V88-4,0))</f>
        <v>Henan Sheng</v>
      </c>
      <c r="K88" s="273"/>
      <c r="L88" s="273"/>
      <c r="M88" s="273"/>
      <c r="N88" s="273"/>
      <c r="O88" s="273"/>
      <c r="P88" s="220"/>
      <c r="Q88" s="274"/>
      <c r="R88" s="217" t="str">
        <f ca="1">IF(ISERROR($V88),"",OFFSET('Smelter Look-up'!$C$4,$V88-4,0)&amp;"")</f>
        <v>Luoyang Zijin Yinhui Gold Refinery Co., Ltd.</v>
      </c>
      <c r="S88" s="225" t="str">
        <f t="shared" ca="1" si="12"/>
        <v>CN</v>
      </c>
      <c r="T88" s="225" t="str">
        <f ca="1">IF(B88="","",IF(ISERROR(MATCH($J88,SorP!$B$1:$B$6230,0)),"",INDIRECT("'SorP'!$A$"&amp;MATCH($J88,SorP!$B$1:$B$6230,0))))</f>
        <v>CN-HA</v>
      </c>
      <c r="U88" s="241"/>
      <c r="V88" s="275">
        <f>IF(C88="",NA(),MATCH($B88&amp;$C88,'Smelter Look-up'!$J:$J,0))</f>
        <v>145</v>
      </c>
      <c r="W88" s="276"/>
      <c r="X88" s="276">
        <f t="shared" ca="1" si="13"/>
        <v>0</v>
      </c>
      <c r="Y88" s="276"/>
      <c r="Z88" s="276"/>
      <c r="AB88" s="278" t="str">
        <f t="shared" si="14"/>
        <v>GoldLuoyang Zijin Yinhui Gold Refinery Co., Ltd.</v>
      </c>
    </row>
    <row r="89" spans="1:28" s="277" customFormat="1" ht="27.95" customHeight="1">
      <c r="A89" s="216"/>
      <c r="B89" s="217" t="s">
        <v>1153</v>
      </c>
      <c r="C89" s="221" t="s">
        <v>2655</v>
      </c>
      <c r="D89" s="283"/>
      <c r="E89" s="217" t="str">
        <f ca="1">IF(ISERROR($V89),"",OFFSET('Smelter Look-up'!$D$4,$V89-4,0)&amp;"")</f>
        <v>BRAZIL</v>
      </c>
      <c r="F89" s="217" t="str">
        <f ca="1">IF(ISERROR($V89),"",OFFSET('Smelter Look-up'!$E$4,$V89-4,0))</f>
        <v>CID002606</v>
      </c>
      <c r="G89" s="217" t="str">
        <f ca="1">IF(C89=$X$4,"Enter smelter details",IF(ISERROR($V89),"",OFFSET('Smelter Look-up'!$F$4,$V89-4,0)))</f>
        <v>RMI</v>
      </c>
      <c r="H89" s="218">
        <f ca="1">IF(ISERROR($V89),"",OFFSET('Smelter Look-up'!$G$4,$V89-4,0))</f>
        <v>0</v>
      </c>
      <c r="I89" s="219" t="str">
        <f ca="1">IF(ISERROR($V89),"",OFFSET('Smelter Look-up'!$H$4,$V89-4,0))</f>
        <v>Sao Paulo</v>
      </c>
      <c r="J89" s="219" t="str">
        <f ca="1">IF(ISERROR($V89),"",OFFSET('Smelter Look-up'!$I$4,$V89-4,0))</f>
        <v>São Paulo</v>
      </c>
      <c r="K89" s="273"/>
      <c r="L89" s="273"/>
      <c r="M89" s="273"/>
      <c r="N89" s="273"/>
      <c r="O89" s="273"/>
      <c r="P89" s="220"/>
      <c r="Q89" s="274"/>
      <c r="R89" s="217" t="str">
        <f ca="1">IF(ISERROR($V89),"",OFFSET('Smelter Look-up'!$C$4,$V89-4,0)&amp;"")</f>
        <v>Marsam Metals</v>
      </c>
      <c r="S89" s="225" t="str">
        <f t="shared" ca="1" si="12"/>
        <v>BR</v>
      </c>
      <c r="T89" s="225" t="str">
        <f ca="1">IF(B89="","",IF(ISERROR(MATCH($J89,SorP!$B$1:$B$6230,0)),"",INDIRECT("'SorP'!$A$"&amp;MATCH($J89,SorP!$B$1:$B$6230,0))))</f>
        <v>BR-SP</v>
      </c>
      <c r="U89" s="241"/>
      <c r="V89" s="275">
        <f>IF(C89="",NA(),MATCH($B89&amp;$C89,'Smelter Look-up'!$J:$J,0))</f>
        <v>148</v>
      </c>
      <c r="W89" s="276"/>
      <c r="X89" s="276">
        <f t="shared" ca="1" si="13"/>
        <v>0</v>
      </c>
      <c r="Y89" s="276"/>
      <c r="Z89" s="276"/>
      <c r="AB89" s="278" t="str">
        <f t="shared" si="14"/>
        <v>GoldMarsam Metals</v>
      </c>
    </row>
    <row r="90" spans="1:28" s="277" customFormat="1" ht="27.95" customHeight="1">
      <c r="A90" s="216"/>
      <c r="B90" s="217" t="s">
        <v>1153</v>
      </c>
      <c r="C90" s="221" t="s">
        <v>933</v>
      </c>
      <c r="D90" s="283"/>
      <c r="E90" s="217" t="str">
        <f ca="1">IF(ISERROR($V90),"",OFFSET('Smelter Look-up'!$D$4,$V90-4,0)&amp;"")</f>
        <v>UNITED STATES OF AMERICA</v>
      </c>
      <c r="F90" s="217" t="str">
        <f ca="1">IF(ISERROR($V90),"",OFFSET('Smelter Look-up'!$E$4,$V90-4,0))</f>
        <v>CID001113</v>
      </c>
      <c r="G90" s="217" t="str">
        <f ca="1">IF(C90=$X$4,"Enter smelter details",IF(ISERROR($V90),"",OFFSET('Smelter Look-up'!$F$4,$V90-4,0)))</f>
        <v>RMI</v>
      </c>
      <c r="H90" s="218">
        <f ca="1">IF(ISERROR($V90),"",OFFSET('Smelter Look-up'!$G$4,$V90-4,0))</f>
        <v>0</v>
      </c>
      <c r="I90" s="219" t="str">
        <f ca="1">IF(ISERROR($V90),"",OFFSET('Smelter Look-up'!$H$4,$V90-4,0))</f>
        <v>Buffalo</v>
      </c>
      <c r="J90" s="219" t="str">
        <f ca="1">IF(ISERROR($V90),"",OFFSET('Smelter Look-up'!$I$4,$V90-4,0))</f>
        <v>New York</v>
      </c>
      <c r="K90" s="273"/>
      <c r="L90" s="273"/>
      <c r="M90" s="273"/>
      <c r="N90" s="273"/>
      <c r="O90" s="273"/>
      <c r="P90" s="220"/>
      <c r="Q90" s="274"/>
      <c r="R90" s="217" t="str">
        <f ca="1">IF(ISERROR($V90),"",OFFSET('Smelter Look-up'!$C$4,$V90-4,0)&amp;"")</f>
        <v>Materion</v>
      </c>
      <c r="S90" s="225" t="str">
        <f t="shared" ca="1" si="12"/>
        <v>US</v>
      </c>
      <c r="T90" s="225" t="str">
        <f ca="1">IF(B90="","",IF(ISERROR(MATCH($J90,SorP!$B$1:$B$6230,0)),"",INDIRECT("'SorP'!$A$"&amp;MATCH($J90,SorP!$B$1:$B$6230,0))))</f>
        <v>US-NY</v>
      </c>
      <c r="U90" s="241"/>
      <c r="V90" s="275">
        <f>IF(C90="",NA(),MATCH($B90&amp;$C90,'Smelter Look-up'!$J:$J,0))</f>
        <v>149</v>
      </c>
      <c r="W90" s="276"/>
      <c r="X90" s="276">
        <f t="shared" ca="1" si="13"/>
        <v>0</v>
      </c>
      <c r="Y90" s="276"/>
      <c r="Z90" s="276"/>
      <c r="AB90" s="278" t="str">
        <f t="shared" si="14"/>
        <v>GoldMaterion</v>
      </c>
    </row>
    <row r="91" spans="1:28" s="277" customFormat="1" ht="27.95" customHeight="1">
      <c r="A91" s="216"/>
      <c r="B91" s="217" t="s">
        <v>1153</v>
      </c>
      <c r="C91" s="221" t="s">
        <v>59</v>
      </c>
      <c r="D91" s="283"/>
      <c r="E91" s="217" t="str">
        <f ca="1">IF(ISERROR($V91),"",OFFSET('Smelter Look-up'!$D$4,$V91-4,0)&amp;"")</f>
        <v>JAPAN</v>
      </c>
      <c r="F91" s="217" t="str">
        <f ca="1">IF(ISERROR($V91),"",OFFSET('Smelter Look-up'!$E$4,$V91-4,0))</f>
        <v>CID001119</v>
      </c>
      <c r="G91" s="217" t="str">
        <f ca="1">IF(C91=$X$4,"Enter smelter details",IF(ISERROR($V91),"",OFFSET('Smelter Look-up'!$F$4,$V91-4,0)))</f>
        <v>RMI</v>
      </c>
      <c r="H91" s="218">
        <f ca="1">IF(ISERROR($V91),"",OFFSET('Smelter Look-up'!$G$4,$V91-4,0))</f>
        <v>0</v>
      </c>
      <c r="I91" s="219" t="str">
        <f ca="1">IF(ISERROR($V91),"",OFFSET('Smelter Look-up'!$H$4,$V91-4,0))</f>
        <v>Iruma</v>
      </c>
      <c r="J91" s="219" t="str">
        <f ca="1">IF(ISERROR($V91),"",OFFSET('Smelter Look-up'!$I$4,$V91-4,0))</f>
        <v>Saitama</v>
      </c>
      <c r="K91" s="273"/>
      <c r="L91" s="273"/>
      <c r="M91" s="273"/>
      <c r="N91" s="273"/>
      <c r="O91" s="273"/>
      <c r="P91" s="220"/>
      <c r="Q91" s="274"/>
      <c r="R91" s="217" t="str">
        <f ca="1">IF(ISERROR($V91),"",OFFSET('Smelter Look-up'!$C$4,$V91-4,0)&amp;"")</f>
        <v>Matsuda Sangyo Co., Ltd.</v>
      </c>
      <c r="S91" s="225" t="str">
        <f t="shared" ca="1" si="12"/>
        <v>JP</v>
      </c>
      <c r="T91" s="225" t="str">
        <f ca="1">IF(B91="","",IF(ISERROR(MATCH($J91,SorP!$B$1:$B$6230,0)),"",INDIRECT("'SorP'!$A$"&amp;MATCH($J91,SorP!$B$1:$B$6230,0))))</f>
        <v>JP-11</v>
      </c>
      <c r="U91" s="241"/>
      <c r="V91" s="275">
        <f>IF(C91="",NA(),MATCH($B91&amp;$C91,'Smelter Look-up'!$J:$J,0))</f>
        <v>150</v>
      </c>
      <c r="W91" s="276"/>
      <c r="X91" s="276">
        <f t="shared" ca="1" si="13"/>
        <v>0</v>
      </c>
      <c r="Y91" s="276"/>
      <c r="Z91" s="276"/>
      <c r="AB91" s="278" t="str">
        <f t="shared" si="14"/>
        <v>GoldMatsuda Sangyo Co., Ltd.</v>
      </c>
    </row>
    <row r="92" spans="1:28" s="277" customFormat="1" ht="27.95" customHeight="1">
      <c r="A92" s="216"/>
      <c r="B92" s="217" t="s">
        <v>1153</v>
      </c>
      <c r="C92" s="221" t="s">
        <v>2255</v>
      </c>
      <c r="D92" s="283"/>
      <c r="E92" s="217" t="str">
        <f ca="1">IF(ISERROR($V92),"",OFFSET('Smelter Look-up'!$D$4,$V92-4,0)&amp;"")</f>
        <v>CHINA</v>
      </c>
      <c r="F92" s="217" t="str">
        <f ca="1">IF(ISERROR($V92),"",OFFSET('Smelter Look-up'!$E$4,$V92-4,0))</f>
        <v>CID001149</v>
      </c>
      <c r="G92" s="217" t="str">
        <f ca="1">IF(C92=$X$4,"Enter smelter details",IF(ISERROR($V92),"",OFFSET('Smelter Look-up'!$F$4,$V92-4,0)))</f>
        <v>RMI</v>
      </c>
      <c r="H92" s="218">
        <f ca="1">IF(ISERROR($V92),"",OFFSET('Smelter Look-up'!$G$4,$V92-4,0))</f>
        <v>0</v>
      </c>
      <c r="I92" s="219" t="str">
        <f ca="1">IF(ISERROR($V92),"",OFFSET('Smelter Look-up'!$H$4,$V92-4,0))</f>
        <v>Kwai Chung</v>
      </c>
      <c r="J92" s="219" t="str">
        <f ca="1">IF(ISERROR($V92),"",OFFSET('Smelter Look-up'!$I$4,$V92-4,0))</f>
        <v>Hong Kong SAR</v>
      </c>
      <c r="K92" s="273"/>
      <c r="L92" s="273"/>
      <c r="M92" s="273"/>
      <c r="N92" s="273"/>
      <c r="O92" s="273"/>
      <c r="P92" s="220"/>
      <c r="Q92" s="274"/>
      <c r="R92" s="217" t="str">
        <f ca="1">IF(ISERROR($V92),"",OFFSET('Smelter Look-up'!$C$4,$V92-4,0)&amp;"")</f>
        <v>Metalor Technologies (Hong Kong) Ltd.</v>
      </c>
      <c r="S92" s="225" t="str">
        <f t="shared" ca="1" si="12"/>
        <v>CN</v>
      </c>
      <c r="T92" s="225" t="str">
        <f ca="1">IF(B92="","",IF(ISERROR(MATCH($J92,SorP!$B$1:$B$6230,0)),"",INDIRECT("'SorP'!$A$"&amp;MATCH($J92,SorP!$B$1:$B$6230,0))))</f>
        <v>CN-HK</v>
      </c>
      <c r="U92" s="241"/>
      <c r="V92" s="275">
        <f>IF(C92="",NA(),MATCH($B92&amp;$C92,'Smelter Look-up'!$J:$J,0))</f>
        <v>155</v>
      </c>
      <c r="W92" s="276"/>
      <c r="X92" s="276">
        <f t="shared" ca="1" si="13"/>
        <v>0</v>
      </c>
      <c r="Y92" s="276"/>
      <c r="Z92" s="276"/>
      <c r="AB92" s="278" t="str">
        <f t="shared" si="14"/>
        <v>GoldMetalor Technologies (Hong Kong) Ltd.</v>
      </c>
    </row>
    <row r="93" spans="1:28" s="277" customFormat="1" ht="27.95" customHeight="1">
      <c r="A93" s="216"/>
      <c r="B93" s="217" t="s">
        <v>1153</v>
      </c>
      <c r="C93" s="221" t="s">
        <v>2256</v>
      </c>
      <c r="D93" s="283"/>
      <c r="E93" s="217" t="str">
        <f ca="1">IF(ISERROR($V93),"",OFFSET('Smelter Look-up'!$D$4,$V93-4,0)&amp;"")</f>
        <v>SINGAPORE</v>
      </c>
      <c r="F93" s="217" t="str">
        <f ca="1">IF(ISERROR($V93),"",OFFSET('Smelter Look-up'!$E$4,$V93-4,0))</f>
        <v>CID001152</v>
      </c>
      <c r="G93" s="217" t="str">
        <f ca="1">IF(C93=$X$4,"Enter smelter details",IF(ISERROR($V93),"",OFFSET('Smelter Look-up'!$F$4,$V93-4,0)))</f>
        <v>RMI</v>
      </c>
      <c r="H93" s="218">
        <f ca="1">IF(ISERROR($V93),"",OFFSET('Smelter Look-up'!$G$4,$V93-4,0))</f>
        <v>0</v>
      </c>
      <c r="I93" s="219" t="str">
        <f ca="1">IF(ISERROR($V93),"",OFFSET('Smelter Look-up'!$H$4,$V93-4,0))</f>
        <v>Singapore</v>
      </c>
      <c r="J93" s="219" t="str">
        <f ca="1">IF(ISERROR($V93),"",OFFSET('Smelter Look-up'!$I$4,$V93-4,0))</f>
        <v>South West</v>
      </c>
      <c r="K93" s="273"/>
      <c r="L93" s="273"/>
      <c r="M93" s="273"/>
      <c r="N93" s="273"/>
      <c r="O93" s="273"/>
      <c r="P93" s="220"/>
      <c r="Q93" s="274"/>
      <c r="R93" s="217" t="str">
        <f ca="1">IF(ISERROR($V93),"",OFFSET('Smelter Look-up'!$C$4,$V93-4,0)&amp;"")</f>
        <v>Metalor Technologies (Singapore) Pte., Ltd.</v>
      </c>
      <c r="S93" s="225" t="str">
        <f t="shared" ca="1" si="12"/>
        <v>SG</v>
      </c>
      <c r="T93" s="225" t="str">
        <f ca="1">IF(B93="","",IF(ISERROR(MATCH($J93,SorP!$B$1:$B$6230,0)),"",INDIRECT("'SorP'!$A$"&amp;MATCH($J93,SorP!$B$1:$B$6230,0))))</f>
        <v>SG-05</v>
      </c>
      <c r="U93" s="241"/>
      <c r="V93" s="275">
        <f>IF(C93="",NA(),MATCH($B93&amp;$C93,'Smelter Look-up'!$J:$J,0))</f>
        <v>156</v>
      </c>
      <c r="W93" s="276"/>
      <c r="X93" s="276">
        <f t="shared" ca="1" si="13"/>
        <v>0</v>
      </c>
      <c r="Y93" s="276"/>
      <c r="Z93" s="276"/>
      <c r="AB93" s="278" t="str">
        <f t="shared" si="14"/>
        <v>GoldMetalor Technologies (Singapore) Pte., Ltd.</v>
      </c>
    </row>
    <row r="94" spans="1:28" s="277" customFormat="1" ht="27.95" customHeight="1">
      <c r="A94" s="216"/>
      <c r="B94" s="217" t="s">
        <v>1153</v>
      </c>
      <c r="C94" s="221" t="s">
        <v>1649</v>
      </c>
      <c r="D94" s="283"/>
      <c r="E94" s="217" t="str">
        <f ca="1">IF(ISERROR($V94),"",OFFSET('Smelter Look-up'!$D$4,$V94-4,0)&amp;"")</f>
        <v>CHINA</v>
      </c>
      <c r="F94" s="217" t="str">
        <f ca="1">IF(ISERROR($V94),"",OFFSET('Smelter Look-up'!$E$4,$V94-4,0))</f>
        <v>CID001147</v>
      </c>
      <c r="G94" s="217" t="str">
        <f ca="1">IF(C94=$X$4,"Enter smelter details",IF(ISERROR($V94),"",OFFSET('Smelter Look-up'!$F$4,$V94-4,0)))</f>
        <v>RMI</v>
      </c>
      <c r="H94" s="218">
        <f ca="1">IF(ISERROR($V94),"",OFFSET('Smelter Look-up'!$G$4,$V94-4,0))</f>
        <v>0</v>
      </c>
      <c r="I94" s="219" t="str">
        <f ca="1">IF(ISERROR($V94),"",OFFSET('Smelter Look-up'!$H$4,$V94-4,0))</f>
        <v>Suzhou</v>
      </c>
      <c r="J94" s="219" t="str">
        <f ca="1">IF(ISERROR($V94),"",OFFSET('Smelter Look-up'!$I$4,$V94-4,0))</f>
        <v>Jiangsu Sheng</v>
      </c>
      <c r="K94" s="273"/>
      <c r="L94" s="273"/>
      <c r="M94" s="273"/>
      <c r="N94" s="273"/>
      <c r="O94" s="273"/>
      <c r="P94" s="220"/>
      <c r="Q94" s="274"/>
      <c r="R94" s="217" t="str">
        <f ca="1">IF(ISERROR($V94),"",OFFSET('Smelter Look-up'!$C$4,$V94-4,0)&amp;"")</f>
        <v>Metalor Technologies (Suzhou) Ltd.</v>
      </c>
      <c r="S94" s="225" t="str">
        <f t="shared" ca="1" si="12"/>
        <v>CN</v>
      </c>
      <c r="T94" s="225" t="str">
        <f ca="1">IF(B94="","",IF(ISERROR(MATCH($J94,SorP!$B$1:$B$6230,0)),"",INDIRECT("'SorP'!$A$"&amp;MATCH($J94,SorP!$B$1:$B$6230,0))))</f>
        <v>CN-JS</v>
      </c>
      <c r="U94" s="241"/>
      <c r="V94" s="275">
        <f>IF(C94="",NA(),MATCH($B94&amp;$C94,'Smelter Look-up'!$J:$J,0))</f>
        <v>157</v>
      </c>
      <c r="W94" s="276"/>
      <c r="X94" s="276">
        <f t="shared" ca="1" si="13"/>
        <v>0</v>
      </c>
      <c r="Y94" s="276"/>
      <c r="Z94" s="276"/>
      <c r="AB94" s="278" t="str">
        <f t="shared" si="14"/>
        <v>GoldMetalor Technologies (Suzhou) Ltd.</v>
      </c>
    </row>
    <row r="95" spans="1:28" s="277" customFormat="1" ht="27.95" customHeight="1">
      <c r="A95" s="216"/>
      <c r="B95" s="217" t="s">
        <v>1153</v>
      </c>
      <c r="C95" s="221" t="s">
        <v>2431</v>
      </c>
      <c r="D95" s="283"/>
      <c r="E95" s="217" t="str">
        <f ca="1">IF(ISERROR($V95),"",OFFSET('Smelter Look-up'!$D$4,$V95-4,0)&amp;"")</f>
        <v>SWITZERLAND</v>
      </c>
      <c r="F95" s="217" t="str">
        <f ca="1">IF(ISERROR($V95),"",OFFSET('Smelter Look-up'!$E$4,$V95-4,0))</f>
        <v>CID001153</v>
      </c>
      <c r="G95" s="217" t="str">
        <f ca="1">IF(C95=$X$4,"Enter smelter details",IF(ISERROR($V95),"",OFFSET('Smelter Look-up'!$F$4,$V95-4,0)))</f>
        <v>RMI</v>
      </c>
      <c r="H95" s="218">
        <f ca="1">IF(ISERROR($V95),"",OFFSET('Smelter Look-up'!$G$4,$V95-4,0))</f>
        <v>0</v>
      </c>
      <c r="I95" s="219" t="str">
        <f ca="1">IF(ISERROR($V95),"",OFFSET('Smelter Look-up'!$H$4,$V95-4,0))</f>
        <v>Marin</v>
      </c>
      <c r="J95" s="219" t="str">
        <f ca="1">IF(ISERROR($V95),"",OFFSET('Smelter Look-up'!$I$4,$V95-4,0))</f>
        <v>Neuchâtel</v>
      </c>
      <c r="K95" s="273"/>
      <c r="L95" s="273"/>
      <c r="M95" s="273"/>
      <c r="N95" s="273"/>
      <c r="O95" s="273"/>
      <c r="P95" s="220"/>
      <c r="Q95" s="274"/>
      <c r="R95" s="217" t="str">
        <f ca="1">IF(ISERROR($V95),"",OFFSET('Smelter Look-up'!$C$4,$V95-4,0)&amp;"")</f>
        <v>Metalor Technologies S.A.</v>
      </c>
      <c r="S95" s="225" t="str">
        <f t="shared" ca="1" si="12"/>
        <v>CH</v>
      </c>
      <c r="T95" s="225" t="str">
        <f ca="1">IF(B95="","",IF(ISERROR(MATCH($J95,SorP!$B$1:$B$6230,0)),"",INDIRECT("'SorP'!$A$"&amp;MATCH($J95,SorP!$B$1:$B$6230,0))))</f>
        <v>CH-NE</v>
      </c>
      <c r="U95" s="241"/>
      <c r="V95" s="275">
        <f>IF(C95="",NA(),MATCH($B95&amp;$C95,'Smelter Look-up'!$J:$J,0))</f>
        <v>158</v>
      </c>
      <c r="W95" s="276"/>
      <c r="X95" s="276">
        <f t="shared" ca="1" si="13"/>
        <v>0</v>
      </c>
      <c r="Y95" s="276"/>
      <c r="Z95" s="276"/>
      <c r="AB95" s="278" t="str">
        <f t="shared" si="14"/>
        <v>GoldMetalor Technologies S.A.</v>
      </c>
    </row>
    <row r="96" spans="1:28" s="277" customFormat="1" ht="27.95" customHeight="1">
      <c r="A96" s="216"/>
      <c r="B96" s="217" t="s">
        <v>1153</v>
      </c>
      <c r="C96" s="221" t="s">
        <v>1252</v>
      </c>
      <c r="D96" s="283"/>
      <c r="E96" s="217" t="str">
        <f ca="1">IF(ISERROR($V96),"",OFFSET('Smelter Look-up'!$D$4,$V96-4,0)&amp;"")</f>
        <v>UNITED STATES OF AMERICA</v>
      </c>
      <c r="F96" s="217" t="str">
        <f ca="1">IF(ISERROR($V96),"",OFFSET('Smelter Look-up'!$E$4,$V96-4,0))</f>
        <v>CID001157</v>
      </c>
      <c r="G96" s="217" t="str">
        <f ca="1">IF(C96=$X$4,"Enter smelter details",IF(ISERROR($V96),"",OFFSET('Smelter Look-up'!$F$4,$V96-4,0)))</f>
        <v>RMI</v>
      </c>
      <c r="H96" s="218">
        <f ca="1">IF(ISERROR($V96),"",OFFSET('Smelter Look-up'!$G$4,$V96-4,0))</f>
        <v>0</v>
      </c>
      <c r="I96" s="219" t="str">
        <f ca="1">IF(ISERROR($V96),"",OFFSET('Smelter Look-up'!$H$4,$V96-4,0))</f>
        <v>North Attleboro</v>
      </c>
      <c r="J96" s="219" t="str">
        <f ca="1">IF(ISERROR($V96),"",OFFSET('Smelter Look-up'!$I$4,$V96-4,0))</f>
        <v>Massachusetts</v>
      </c>
      <c r="K96" s="273"/>
      <c r="L96" s="273"/>
      <c r="M96" s="273"/>
      <c r="N96" s="273"/>
      <c r="O96" s="273"/>
      <c r="P96" s="220"/>
      <c r="Q96" s="274"/>
      <c r="R96" s="217" t="str">
        <f ca="1">IF(ISERROR($V96),"",OFFSET('Smelter Look-up'!$C$4,$V96-4,0)&amp;"")</f>
        <v>Metalor USA Refining Corporation</v>
      </c>
      <c r="S96" s="225" t="str">
        <f t="shared" ca="1" si="12"/>
        <v>US</v>
      </c>
      <c r="T96" s="225" t="str">
        <f ca="1">IF(B96="","",IF(ISERROR(MATCH($J96,SorP!$B$1:$B$6230,0)),"",INDIRECT("'SorP'!$A$"&amp;MATCH($J96,SorP!$B$1:$B$6230,0))))</f>
        <v>US-MA</v>
      </c>
      <c r="U96" s="241"/>
      <c r="V96" s="275">
        <f>IF(C96="",NA(),MATCH($B96&amp;$C96,'Smelter Look-up'!$J:$J,0))</f>
        <v>159</v>
      </c>
      <c r="W96" s="276"/>
      <c r="X96" s="276">
        <f t="shared" ca="1" si="13"/>
        <v>0</v>
      </c>
      <c r="Y96" s="276"/>
      <c r="Z96" s="276"/>
      <c r="AB96" s="278" t="str">
        <f t="shared" si="14"/>
        <v>GoldMetalor USA Refining Corporation</v>
      </c>
    </row>
    <row r="97" spans="1:28" s="277" customFormat="1" ht="27.95" customHeight="1">
      <c r="A97" s="216"/>
      <c r="B97" s="217" t="s">
        <v>1153</v>
      </c>
      <c r="C97" s="221" t="s">
        <v>2433</v>
      </c>
      <c r="D97" s="283"/>
      <c r="E97" s="217" t="str">
        <f ca="1">IF(ISERROR($V97),"",OFFSET('Smelter Look-up'!$D$4,$V97-4,0)&amp;"")</f>
        <v>MEXICO</v>
      </c>
      <c r="F97" s="217" t="str">
        <f ca="1">IF(ISERROR($V97),"",OFFSET('Smelter Look-up'!$E$4,$V97-4,0))</f>
        <v>CID001161</v>
      </c>
      <c r="G97" s="217" t="str">
        <f ca="1">IF(C97=$X$4,"Enter smelter details",IF(ISERROR($V97),"",OFFSET('Smelter Look-up'!$F$4,$V97-4,0)))</f>
        <v>RMI</v>
      </c>
      <c r="H97" s="218">
        <f ca="1">IF(ISERROR($V97),"",OFFSET('Smelter Look-up'!$G$4,$V97-4,0))</f>
        <v>0</v>
      </c>
      <c r="I97" s="219" t="str">
        <f ca="1">IF(ISERROR($V97),"",OFFSET('Smelter Look-up'!$H$4,$V97-4,0))</f>
        <v>Torreon</v>
      </c>
      <c r="J97" s="219" t="str">
        <f ca="1">IF(ISERROR($V97),"",OFFSET('Smelter Look-up'!$I$4,$V97-4,0))</f>
        <v>Coahuila de Zaragoza</v>
      </c>
      <c r="K97" s="273"/>
      <c r="L97" s="273"/>
      <c r="M97" s="273"/>
      <c r="N97" s="273"/>
      <c r="O97" s="273"/>
      <c r="P97" s="220"/>
      <c r="Q97" s="274"/>
      <c r="R97" s="217" t="str">
        <f ca="1">IF(ISERROR($V97),"",OFFSET('Smelter Look-up'!$C$4,$V97-4,0)&amp;"")</f>
        <v>Metalurgica Met-Mex Penoles S.A. De C.V.</v>
      </c>
      <c r="S97" s="225" t="str">
        <f t="shared" ca="1" si="12"/>
        <v>MX</v>
      </c>
      <c r="T97" s="225" t="str">
        <f ca="1">IF(B97="","",IF(ISERROR(MATCH($J97,SorP!$B$1:$B$6230,0)),"",INDIRECT("'SorP'!$A$"&amp;MATCH($J97,SorP!$B$1:$B$6230,0))))</f>
        <v>MX-COA</v>
      </c>
      <c r="U97" s="241"/>
      <c r="V97" s="275">
        <f>IF(C97="",NA(),MATCH($B97&amp;$C97,'Smelter Look-up'!$J:$J,0))</f>
        <v>161</v>
      </c>
      <c r="W97" s="276"/>
      <c r="X97" s="276">
        <f t="shared" ca="1" si="13"/>
        <v>0</v>
      </c>
      <c r="Y97" s="276"/>
      <c r="Z97" s="276"/>
      <c r="AB97" s="278" t="str">
        <f t="shared" si="14"/>
        <v>GoldMetalúrgica Met-Mex Peñoles S.A. De C.V.</v>
      </c>
    </row>
    <row r="98" spans="1:28" s="277" customFormat="1" ht="27.95" customHeight="1">
      <c r="A98" s="216"/>
      <c r="B98" s="217" t="s">
        <v>1153</v>
      </c>
      <c r="C98" s="221" t="s">
        <v>1187</v>
      </c>
      <c r="D98" s="283"/>
      <c r="E98" s="217" t="str">
        <f ca="1">IF(ISERROR($V98),"",OFFSET('Smelter Look-up'!$D$4,$V98-4,0)&amp;"")</f>
        <v>JAPAN</v>
      </c>
      <c r="F98" s="217" t="str">
        <f ca="1">IF(ISERROR($V98),"",OFFSET('Smelter Look-up'!$E$4,$V98-4,0))</f>
        <v>CID001188</v>
      </c>
      <c r="G98" s="217" t="str">
        <f ca="1">IF(C98=$X$4,"Enter smelter details",IF(ISERROR($V98),"",OFFSET('Smelter Look-up'!$F$4,$V98-4,0)))</f>
        <v>RMI</v>
      </c>
      <c r="H98" s="218">
        <f ca="1">IF(ISERROR($V98),"",OFFSET('Smelter Look-up'!$G$4,$V98-4,0))</f>
        <v>0</v>
      </c>
      <c r="I98" s="219" t="str">
        <f ca="1">IF(ISERROR($V98),"",OFFSET('Smelter Look-up'!$H$4,$V98-4,0))</f>
        <v>Naoshima</v>
      </c>
      <c r="J98" s="219" t="str">
        <f ca="1">IF(ISERROR($V98),"",OFFSET('Smelter Look-up'!$I$4,$V98-4,0))</f>
        <v>Kagawa</v>
      </c>
      <c r="K98" s="273"/>
      <c r="L98" s="273"/>
      <c r="M98" s="273"/>
      <c r="N98" s="273"/>
      <c r="O98" s="273"/>
      <c r="P98" s="220"/>
      <c r="Q98" s="274"/>
      <c r="R98" s="217" t="str">
        <f ca="1">IF(ISERROR($V98),"",OFFSET('Smelter Look-up'!$C$4,$V98-4,0)&amp;"")</f>
        <v>Mitsubishi Materials Corporation</v>
      </c>
      <c r="S98" s="225" t="str">
        <f t="shared" ca="1" si="12"/>
        <v>JP</v>
      </c>
      <c r="T98" s="225" t="str">
        <f ca="1">IF(B98="","",IF(ISERROR(MATCH($J98,SorP!$B$1:$B$6230,0)),"",INDIRECT("'SorP'!$A$"&amp;MATCH($J98,SorP!$B$1:$B$6230,0))))</f>
        <v>JP-37</v>
      </c>
      <c r="U98" s="241"/>
      <c r="V98" s="275">
        <f>IF(C98="",NA(),MATCH($B98&amp;$C98,'Smelter Look-up'!$J:$J,0))</f>
        <v>164</v>
      </c>
      <c r="W98" s="276"/>
      <c r="X98" s="276">
        <f t="shared" ca="1" si="13"/>
        <v>0</v>
      </c>
      <c r="Y98" s="276"/>
      <c r="Z98" s="276"/>
      <c r="AB98" s="278" t="str">
        <f t="shared" si="14"/>
        <v>GoldMitsubishi Materials Corporation</v>
      </c>
    </row>
    <row r="99" spans="1:28" s="277" customFormat="1" ht="27.95" customHeight="1">
      <c r="A99" s="216"/>
      <c r="B99" s="217" t="s">
        <v>1153</v>
      </c>
      <c r="C99" s="221" t="s">
        <v>1253</v>
      </c>
      <c r="D99" s="283"/>
      <c r="E99" s="217" t="str">
        <f ca="1">IF(ISERROR($V99),"",OFFSET('Smelter Look-up'!$D$4,$V99-4,0)&amp;"")</f>
        <v>JAPAN</v>
      </c>
      <c r="F99" s="217" t="str">
        <f ca="1">IF(ISERROR($V99),"",OFFSET('Smelter Look-up'!$E$4,$V99-4,0))</f>
        <v>CID001193</v>
      </c>
      <c r="G99" s="217" t="str">
        <f ca="1">IF(C99=$X$4,"Enter smelter details",IF(ISERROR($V99),"",OFFSET('Smelter Look-up'!$F$4,$V99-4,0)))</f>
        <v>RMI</v>
      </c>
      <c r="H99" s="218">
        <f ca="1">IF(ISERROR($V99),"",OFFSET('Smelter Look-up'!$G$4,$V99-4,0))</f>
        <v>0</v>
      </c>
      <c r="I99" s="219" t="str">
        <f ca="1">IF(ISERROR($V99),"",OFFSET('Smelter Look-up'!$H$4,$V99-4,0))</f>
        <v>Takehara</v>
      </c>
      <c r="J99" s="219" t="str">
        <f ca="1">IF(ISERROR($V99),"",OFFSET('Smelter Look-up'!$I$4,$V99-4,0))</f>
        <v>Hiroshima</v>
      </c>
      <c r="K99" s="273"/>
      <c r="L99" s="273"/>
      <c r="M99" s="273"/>
      <c r="N99" s="273"/>
      <c r="O99" s="273"/>
      <c r="P99" s="220"/>
      <c r="Q99" s="274"/>
      <c r="R99" s="217" t="str">
        <f ca="1">IF(ISERROR($V99),"",OFFSET('Smelter Look-up'!$C$4,$V99-4,0)&amp;"")</f>
        <v>Mitsui Mining and Smelting Co., Ltd.</v>
      </c>
      <c r="S99" s="225" t="str">
        <f t="shared" ca="1" si="12"/>
        <v>JP</v>
      </c>
      <c r="T99" s="225" t="str">
        <f ca="1">IF(B99="","",IF(ISERROR(MATCH($J99,SorP!$B$1:$B$6230,0)),"",INDIRECT("'SorP'!$A$"&amp;MATCH($J99,SorP!$B$1:$B$6230,0))))</f>
        <v>JP-34</v>
      </c>
      <c r="U99" s="241"/>
      <c r="V99" s="275">
        <f>IF(C99="",NA(),MATCH($B99&amp;$C99,'Smelter Look-up'!$J:$J,0))</f>
        <v>166</v>
      </c>
      <c r="W99" s="276"/>
      <c r="X99" s="276">
        <f t="shared" ca="1" si="13"/>
        <v>0</v>
      </c>
      <c r="Y99" s="276"/>
      <c r="Z99" s="276"/>
      <c r="AB99" s="278" t="str">
        <f t="shared" si="14"/>
        <v>GoldMitsui Mining and Smelting Co., Ltd.</v>
      </c>
    </row>
    <row r="100" spans="1:28" s="277" customFormat="1" ht="27.95" customHeight="1">
      <c r="A100" s="216"/>
      <c r="B100" s="217" t="s">
        <v>1153</v>
      </c>
      <c r="C100" s="221" t="s">
        <v>2278</v>
      </c>
      <c r="D100" s="283"/>
      <c r="E100" s="217" t="str">
        <f ca="1">IF(ISERROR($V100),"",OFFSET('Smelter Look-up'!$D$4,$V100-4,0)&amp;"")</f>
        <v>INDIA</v>
      </c>
      <c r="F100" s="217" t="str">
        <f ca="1">IF(ISERROR($V100),"",OFFSET('Smelter Look-up'!$E$4,$V100-4,0))</f>
        <v>CID002509</v>
      </c>
      <c r="G100" s="217" t="str">
        <f ca="1">IF(C100=$X$4,"Enter smelter details",IF(ISERROR($V100),"",OFFSET('Smelter Look-up'!$F$4,$V100-4,0)))</f>
        <v>RMI</v>
      </c>
      <c r="H100" s="218">
        <f ca="1">IF(ISERROR($V100),"",OFFSET('Smelter Look-up'!$G$4,$V100-4,0))</f>
        <v>0</v>
      </c>
      <c r="I100" s="219" t="str">
        <f ca="1">IF(ISERROR($V100),"",OFFSET('Smelter Look-up'!$H$4,$V100-4,0))</f>
        <v>Mewat</v>
      </c>
      <c r="J100" s="219" t="str">
        <f ca="1">IF(ISERROR($V100),"",OFFSET('Smelter Look-up'!$I$4,$V100-4,0))</f>
        <v>Haryana</v>
      </c>
      <c r="K100" s="273"/>
      <c r="L100" s="273"/>
      <c r="M100" s="273"/>
      <c r="N100" s="273"/>
      <c r="O100" s="273"/>
      <c r="P100" s="220"/>
      <c r="Q100" s="274"/>
      <c r="R100" s="217" t="str">
        <f ca="1">IF(ISERROR($V100),"",OFFSET('Smelter Look-up'!$C$4,$V100-4,0)&amp;"")</f>
        <v>MMTC-PAMP India Pvt., Ltd.</v>
      </c>
      <c r="S100" s="225" t="str">
        <f t="shared" ca="1" si="12"/>
        <v>IN</v>
      </c>
      <c r="T100" s="225" t="str">
        <f ca="1">IF(B100="","",IF(ISERROR(MATCH($J100,SorP!$B$1:$B$6230,0)),"",INDIRECT("'SorP'!$A$"&amp;MATCH($J100,SorP!$B$1:$B$6230,0))))</f>
        <v>IN-HR</v>
      </c>
      <c r="U100" s="241"/>
      <c r="V100" s="275">
        <f>IF(C100="",NA(),MATCH($B100&amp;$C100,'Smelter Look-up'!$J:$J,0))</f>
        <v>167</v>
      </c>
      <c r="W100" s="276"/>
      <c r="X100" s="276">
        <f t="shared" ca="1" si="13"/>
        <v>0</v>
      </c>
      <c r="Y100" s="276"/>
      <c r="Z100" s="276"/>
      <c r="AB100" s="278" t="str">
        <f t="shared" si="14"/>
        <v>GoldMMTC-PAMP India Pvt., Ltd.</v>
      </c>
    </row>
    <row r="101" spans="1:28" s="277" customFormat="1" ht="27.95" customHeight="1">
      <c r="A101" s="216"/>
      <c r="B101" s="217" t="s">
        <v>1153</v>
      </c>
      <c r="C101" s="221" t="s">
        <v>2436</v>
      </c>
      <c r="D101" s="283"/>
      <c r="E101" s="217" t="str">
        <f ca="1">IF(ISERROR($V101),"",OFFSET('Smelter Look-up'!$D$4,$V101-4,0)&amp;"")</f>
        <v>MALAYSIA</v>
      </c>
      <c r="F101" s="217" t="str">
        <f ca="1">IF(ISERROR($V101),"",OFFSET('Smelter Look-up'!$E$4,$V101-4,0))</f>
        <v>CID002857</v>
      </c>
      <c r="G101" s="217" t="str">
        <f ca="1">IF(C101=$X$4,"Enter smelter details",IF(ISERROR($V101),"",OFFSET('Smelter Look-up'!$F$4,$V101-4,0)))</f>
        <v>RMI</v>
      </c>
      <c r="H101" s="218">
        <f ca="1">IF(ISERROR($V101),"",OFFSET('Smelter Look-up'!$G$4,$V101-4,0))</f>
        <v>0</v>
      </c>
      <c r="I101" s="219" t="str">
        <f ca="1">IF(ISERROR($V101),"",OFFSET('Smelter Look-up'!$H$4,$V101-4,0))</f>
        <v>Kawasan Perindustrian Bukit Rambai</v>
      </c>
      <c r="J101" s="219" t="str">
        <f ca="1">IF(ISERROR($V101),"",OFFSET('Smelter Look-up'!$I$4,$V101-4,0))</f>
        <v>Melaka</v>
      </c>
      <c r="K101" s="273"/>
      <c r="L101" s="273"/>
      <c r="M101" s="273"/>
      <c r="N101" s="273"/>
      <c r="O101" s="273"/>
      <c r="P101" s="220"/>
      <c r="Q101" s="274"/>
      <c r="R101" s="217" t="str">
        <f ca="1">IF(ISERROR($V101),"",OFFSET('Smelter Look-up'!$C$4,$V101-4,0)&amp;"")</f>
        <v>Modeltech Sdn Bhd</v>
      </c>
      <c r="S101" s="225" t="str">
        <f t="shared" ca="1" si="12"/>
        <v>MY</v>
      </c>
      <c r="T101" s="225" t="str">
        <f ca="1">IF(B101="","",IF(ISERROR(MATCH($J101,SorP!$B$1:$B$6230,0)),"",INDIRECT("'SorP'!$A$"&amp;MATCH($J101,SorP!$B$1:$B$6230,0))))</f>
        <v>MY-04</v>
      </c>
      <c r="U101" s="241"/>
      <c r="V101" s="275">
        <f>IF(C101="",NA(),MATCH($B101&amp;$C101,'Smelter Look-up'!$J:$J,0))</f>
        <v>168</v>
      </c>
      <c r="W101" s="276"/>
      <c r="X101" s="276">
        <f t="shared" ca="1" si="13"/>
        <v>0</v>
      </c>
      <c r="Y101" s="276"/>
      <c r="Z101" s="276"/>
      <c r="AB101" s="278" t="str">
        <f t="shared" si="14"/>
        <v>GoldModeltech Sdn Bhd</v>
      </c>
    </row>
    <row r="102" spans="1:28" s="277" customFormat="1" ht="27.95" customHeight="1">
      <c r="A102" s="216"/>
      <c r="B102" s="217" t="s">
        <v>1153</v>
      </c>
      <c r="C102" s="221" t="s">
        <v>2318</v>
      </c>
      <c r="D102" s="283"/>
      <c r="E102" s="217" t="str">
        <f ca="1">IF(ISERROR($V102),"",OFFSET('Smelter Look-up'!$D$4,$V102-4,0)&amp;"")</f>
        <v>NEW ZEALAND</v>
      </c>
      <c r="F102" s="217" t="str">
        <f ca="1">IF(ISERROR($V102),"",OFFSET('Smelter Look-up'!$E$4,$V102-4,0))</f>
        <v>CID002282</v>
      </c>
      <c r="G102" s="217" t="str">
        <f ca="1">IF(C102=$X$4,"Enter smelter details",IF(ISERROR($V102),"",OFFSET('Smelter Look-up'!$F$4,$V102-4,0)))</f>
        <v>RMI</v>
      </c>
      <c r="H102" s="218">
        <f ca="1">IF(ISERROR($V102),"",OFFSET('Smelter Look-up'!$G$4,$V102-4,0))</f>
        <v>0</v>
      </c>
      <c r="I102" s="219" t="str">
        <f ca="1">IF(ISERROR($V102),"",OFFSET('Smelter Look-up'!$H$4,$V102-4,0))</f>
        <v>Onehunga</v>
      </c>
      <c r="J102" s="219" t="str">
        <f ca="1">IF(ISERROR($V102),"",OFFSET('Smelter Look-up'!$I$4,$V102-4,0))</f>
        <v>Auckland</v>
      </c>
      <c r="K102" s="273"/>
      <c r="L102" s="273"/>
      <c r="M102" s="273"/>
      <c r="N102" s="273"/>
      <c r="O102" s="273"/>
      <c r="P102" s="220"/>
      <c r="Q102" s="274"/>
      <c r="R102" s="217" t="str">
        <f ca="1">IF(ISERROR($V102),"",OFFSET('Smelter Look-up'!$C$4,$V102-4,0)&amp;"")</f>
        <v>Morris and Watson</v>
      </c>
      <c r="S102" s="225" t="str">
        <f t="shared" ref="S102:S132" ca="1" si="15">IF(B102="","",IF(ISERROR(MATCH($E102,CL,0)),"Unknown",INDIRECT("'C'!$A$"&amp;MATCH($E102,CL,0)+1)))</f>
        <v>NZ</v>
      </c>
      <c r="T102" s="225" t="str">
        <f ca="1">IF(B102="","",IF(ISERROR(MATCH($J102,SorP!$B$1:$B$6230,0)),"",INDIRECT("'SorP'!$A$"&amp;MATCH($J102,SorP!$B$1:$B$6230,0))))</f>
        <v>NZ-AUK</v>
      </c>
      <c r="U102" s="241"/>
      <c r="V102" s="275">
        <f>IF(C102="",NA(),MATCH($B102&amp;$C102,'Smelter Look-up'!$J:$J,0))</f>
        <v>169</v>
      </c>
      <c r="W102" s="276"/>
      <c r="X102" s="276">
        <f t="shared" ref="X102:X132" ca="1" si="16">IF(AND(C102="Smelter not listed",OR(LEN(D102)=0,LEN(E102)=0)),1,0)</f>
        <v>0</v>
      </c>
      <c r="Y102" s="276"/>
      <c r="Z102" s="276"/>
      <c r="AB102" s="278" t="str">
        <f t="shared" ref="AB102:AB132" si="17">B102&amp;C102</f>
        <v>GoldMorris and Watson</v>
      </c>
    </row>
    <row r="103" spans="1:28" s="277" customFormat="1" ht="27.95" customHeight="1">
      <c r="A103" s="216"/>
      <c r="B103" s="217" t="s">
        <v>1153</v>
      </c>
      <c r="C103" s="221" t="s">
        <v>934</v>
      </c>
      <c r="D103" s="283"/>
      <c r="E103" s="217" t="str">
        <f ca="1">IF(ISERROR($V103),"",OFFSET('Smelter Look-up'!$D$4,$V103-4,0)&amp;"")</f>
        <v>RUSSIAN FEDERATION</v>
      </c>
      <c r="F103" s="217" t="str">
        <f ca="1">IF(ISERROR($V103),"",OFFSET('Smelter Look-up'!$E$4,$V103-4,0))</f>
        <v>CID001204</v>
      </c>
      <c r="G103" s="217" t="str">
        <f ca="1">IF(C103=$X$4,"Enter smelter details",IF(ISERROR($V103),"",OFFSET('Smelter Look-up'!$F$4,$V103-4,0)))</f>
        <v>RMI</v>
      </c>
      <c r="H103" s="218">
        <f ca="1">IF(ISERROR($V103),"",OFFSET('Smelter Look-up'!$G$4,$V103-4,0))</f>
        <v>0</v>
      </c>
      <c r="I103" s="219" t="str">
        <f ca="1">IF(ISERROR($V103),"",OFFSET('Smelter Look-up'!$H$4,$V103-4,0))</f>
        <v>Obrucheva</v>
      </c>
      <c r="J103" s="219" t="str">
        <f ca="1">IF(ISERROR($V103),"",OFFSET('Smelter Look-up'!$I$4,$V103-4,0))</f>
        <v>Moskva</v>
      </c>
      <c r="K103" s="273"/>
      <c r="L103" s="273"/>
      <c r="M103" s="273"/>
      <c r="N103" s="273"/>
      <c r="O103" s="273"/>
      <c r="P103" s="220"/>
      <c r="Q103" s="274"/>
      <c r="R103" s="217" t="str">
        <f ca="1">IF(ISERROR($V103),"",OFFSET('Smelter Look-up'!$C$4,$V103-4,0)&amp;"")</f>
        <v>Moscow Special Alloys Processing Plant</v>
      </c>
      <c r="S103" s="225" t="str">
        <f t="shared" ca="1" si="15"/>
        <v>RU</v>
      </c>
      <c r="T103" s="225" t="str">
        <f ca="1">IF(B103="","",IF(ISERROR(MATCH($J103,SorP!$B$1:$B$6230,0)),"",INDIRECT("'SorP'!$A$"&amp;MATCH($J103,SorP!$B$1:$B$6230,0))))</f>
        <v>RU-MOW</v>
      </c>
      <c r="U103" s="241"/>
      <c r="V103" s="275">
        <f>IF(C103="",NA(),MATCH($B103&amp;$C103,'Smelter Look-up'!$J:$J,0))</f>
        <v>170</v>
      </c>
      <c r="W103" s="276"/>
      <c r="X103" s="276">
        <f t="shared" ca="1" si="16"/>
        <v>0</v>
      </c>
      <c r="Y103" s="276"/>
      <c r="Z103" s="276"/>
      <c r="AB103" s="278" t="str">
        <f t="shared" si="17"/>
        <v>GoldMoscow Special Alloys Processing Plant</v>
      </c>
    </row>
    <row r="104" spans="1:28" s="277" customFormat="1" ht="27.95" customHeight="1">
      <c r="A104" s="216"/>
      <c r="B104" s="217" t="s">
        <v>1153</v>
      </c>
      <c r="C104" s="221" t="s">
        <v>1259</v>
      </c>
      <c r="D104" s="283"/>
      <c r="E104" s="217" t="str">
        <f ca="1">IF(ISERROR($V104),"",OFFSET('Smelter Look-up'!$D$4,$V104-4,0)&amp;"")</f>
        <v>TURKEY</v>
      </c>
      <c r="F104" s="217" t="str">
        <f ca="1">IF(ISERROR($V104),"",OFFSET('Smelter Look-up'!$E$4,$V104-4,0))</f>
        <v>CID001220</v>
      </c>
      <c r="G104" s="217" t="str">
        <f ca="1">IF(C104=$X$4,"Enter smelter details",IF(ISERROR($V104),"",OFFSET('Smelter Look-up'!$F$4,$V104-4,0)))</f>
        <v>RMI</v>
      </c>
      <c r="H104" s="218">
        <f ca="1">IF(ISERROR($V104),"",OFFSET('Smelter Look-up'!$G$4,$V104-4,0))</f>
        <v>0</v>
      </c>
      <c r="I104" s="219" t="str">
        <f ca="1">IF(ISERROR($V104),"",OFFSET('Smelter Look-up'!$H$4,$V104-4,0))</f>
        <v>Bahçelievler</v>
      </c>
      <c r="J104" s="219" t="str">
        <f ca="1">IF(ISERROR($V104),"",OFFSET('Smelter Look-up'!$I$4,$V104-4,0))</f>
        <v>İstanbul</v>
      </c>
      <c r="K104" s="273"/>
      <c r="L104" s="273"/>
      <c r="M104" s="273"/>
      <c r="N104" s="273"/>
      <c r="O104" s="273"/>
      <c r="P104" s="220"/>
      <c r="Q104" s="274"/>
      <c r="R104" s="217" t="str">
        <f ca="1">IF(ISERROR($V104),"",OFFSET('Smelter Look-up'!$C$4,$V104-4,0)&amp;"")</f>
        <v>Nadir Metal Rafineri San. Ve Tic. A.S.</v>
      </c>
      <c r="S104" s="225" t="str">
        <f t="shared" ca="1" si="15"/>
        <v>TR</v>
      </c>
      <c r="T104" s="225" t="str">
        <f ca="1">IF(B104="","",IF(ISERROR(MATCH($J104,SorP!$B$1:$B$6230,0)),"",INDIRECT("'SorP'!$A$"&amp;MATCH($J104,SorP!$B$1:$B$6230,0))))</f>
        <v>TR-34</v>
      </c>
      <c r="U104" s="241"/>
      <c r="V104" s="275">
        <f>IF(C104="",NA(),MATCH($B104&amp;$C104,'Smelter Look-up'!$J:$J,0))</f>
        <v>172</v>
      </c>
      <c r="W104" s="276"/>
      <c r="X104" s="276">
        <f t="shared" ca="1" si="16"/>
        <v>0</v>
      </c>
      <c r="Y104" s="276"/>
      <c r="Z104" s="276"/>
      <c r="AB104" s="278" t="str">
        <f t="shared" si="17"/>
        <v>GoldNadir Metal Rafineri San. Ve Tic. A.Ş.</v>
      </c>
    </row>
    <row r="105" spans="1:28" s="277" customFormat="1" ht="27.95" customHeight="1">
      <c r="A105" s="216"/>
      <c r="B105" s="217" t="s">
        <v>1153</v>
      </c>
      <c r="C105" s="221" t="s">
        <v>1254</v>
      </c>
      <c r="D105" s="283"/>
      <c r="E105" s="217" t="str">
        <f ca="1">IF(ISERROR($V105),"",OFFSET('Smelter Look-up'!$D$4,$V105-4,0)&amp;"")</f>
        <v>UZBEKISTAN</v>
      </c>
      <c r="F105" s="217" t="str">
        <f ca="1">IF(ISERROR($V105),"",OFFSET('Smelter Look-up'!$E$4,$V105-4,0))</f>
        <v>CID001236</v>
      </c>
      <c r="G105" s="217" t="str">
        <f ca="1">IF(C105=$X$4,"Enter smelter details",IF(ISERROR($V105),"",OFFSET('Smelter Look-up'!$F$4,$V105-4,0)))</f>
        <v>RMI</v>
      </c>
      <c r="H105" s="218">
        <f ca="1">IF(ISERROR($V105),"",OFFSET('Smelter Look-up'!$G$4,$V105-4,0))</f>
        <v>0</v>
      </c>
      <c r="I105" s="219" t="str">
        <f ca="1">IF(ISERROR($V105),"",OFFSET('Smelter Look-up'!$H$4,$V105-4,0))</f>
        <v>Navoi</v>
      </c>
      <c r="J105" s="219" t="str">
        <f ca="1">IF(ISERROR($V105),"",OFFSET('Smelter Look-up'!$I$4,$V105-4,0))</f>
        <v>Navoiy</v>
      </c>
      <c r="K105" s="273"/>
      <c r="L105" s="273"/>
      <c r="M105" s="273"/>
      <c r="N105" s="273"/>
      <c r="O105" s="273"/>
      <c r="P105" s="220"/>
      <c r="Q105" s="274"/>
      <c r="R105" s="217" t="str">
        <f ca="1">IF(ISERROR($V105),"",OFFSET('Smelter Look-up'!$C$4,$V105-4,0)&amp;"")</f>
        <v>Navoi Mining and Metallurgical Combinat</v>
      </c>
      <c r="S105" s="225" t="str">
        <f t="shared" ca="1" si="15"/>
        <v>UZ</v>
      </c>
      <c r="T105" s="225" t="str">
        <f ca="1">IF(B105="","",IF(ISERROR(MATCH($J105,SorP!$B$1:$B$6230,0)),"",INDIRECT("'SorP'!$A$"&amp;MATCH($J105,SorP!$B$1:$B$6230,0))))</f>
        <v>UZ-NW</v>
      </c>
      <c r="U105" s="241"/>
      <c r="V105" s="275">
        <f>IF(C105="",NA(),MATCH($B105&amp;$C105,'Smelter Look-up'!$J:$J,0))</f>
        <v>173</v>
      </c>
      <c r="W105" s="276"/>
      <c r="X105" s="276">
        <f t="shared" ca="1" si="16"/>
        <v>0</v>
      </c>
      <c r="Y105" s="276"/>
      <c r="Z105" s="276"/>
      <c r="AB105" s="278" t="str">
        <f t="shared" si="17"/>
        <v>GoldNavoi Mining and Metallurgical Combinat</v>
      </c>
    </row>
    <row r="106" spans="1:28" s="277" customFormat="1" ht="27.95" customHeight="1">
      <c r="A106" s="216"/>
      <c r="B106" s="217" t="s">
        <v>1153</v>
      </c>
      <c r="C106" s="221" t="s">
        <v>13255</v>
      </c>
      <c r="D106" s="283"/>
      <c r="E106" s="217" t="str">
        <f ca="1">IF(ISERROR($V106),"",OFFSET('Smelter Look-up'!$D$4,$V106-4,0)&amp;"")</f>
        <v>KOREA, REPUBLIC OF</v>
      </c>
      <c r="F106" s="217" t="str">
        <f ca="1">IF(ISERROR($V106),"",OFFSET('Smelter Look-up'!$E$4,$V106-4,0))</f>
        <v>CID003189</v>
      </c>
      <c r="G106" s="217" t="str">
        <f ca="1">IF(C106=$X$4,"Enter smelter details",IF(ISERROR($V106),"",OFFSET('Smelter Look-up'!$F$4,$V106-4,0)))</f>
        <v>RMI</v>
      </c>
      <c r="H106" s="218">
        <f ca="1">IF(ISERROR($V106),"",OFFSET('Smelter Look-up'!$G$4,$V106-4,0))</f>
        <v>0</v>
      </c>
      <c r="I106" s="219" t="str">
        <f ca="1">IF(ISERROR($V106),"",OFFSET('Smelter Look-up'!$H$4,$V106-4,0))</f>
        <v>Pyeongtaek-si</v>
      </c>
      <c r="J106" s="219" t="str">
        <f ca="1">IF(ISERROR($V106),"",OFFSET('Smelter Look-up'!$I$4,$V106-4,0))</f>
        <v>Gyeonggi-do</v>
      </c>
      <c r="K106" s="273"/>
      <c r="L106" s="273"/>
      <c r="M106" s="273"/>
      <c r="N106" s="273"/>
      <c r="O106" s="273"/>
      <c r="P106" s="220"/>
      <c r="Q106" s="274"/>
      <c r="R106" s="217" t="str">
        <f ca="1">IF(ISERROR($V106),"",OFFSET('Smelter Look-up'!$C$4,$V106-4,0)&amp;"")</f>
        <v>NH Recytech Company</v>
      </c>
      <c r="S106" s="225" t="str">
        <f t="shared" ca="1" si="15"/>
        <v>KR</v>
      </c>
      <c r="T106" s="225" t="str">
        <f ca="1">IF(B106="","",IF(ISERROR(MATCH($J106,SorP!$B$1:$B$6230,0)),"",INDIRECT("'SorP'!$A$"&amp;MATCH($J106,SorP!$B$1:$B$6230,0))))</f>
        <v>KR-41</v>
      </c>
      <c r="U106" s="241"/>
      <c r="V106" s="275">
        <f>IF(C106="",NA(),MATCH($B106&amp;$C106,'Smelter Look-up'!$J:$J,0))</f>
        <v>174</v>
      </c>
      <c r="W106" s="276"/>
      <c r="X106" s="276">
        <f t="shared" ca="1" si="16"/>
        <v>0</v>
      </c>
      <c r="Y106" s="276"/>
      <c r="Z106" s="276"/>
      <c r="AB106" s="278" t="str">
        <f t="shared" si="17"/>
        <v>GoldNH Recytech Company</v>
      </c>
    </row>
    <row r="107" spans="1:28" s="277" customFormat="1" ht="27.95" customHeight="1">
      <c r="A107" s="216"/>
      <c r="B107" s="217" t="s">
        <v>1153</v>
      </c>
      <c r="C107" s="221" t="s">
        <v>2259</v>
      </c>
      <c r="D107" s="283"/>
      <c r="E107" s="217" t="str">
        <f ca="1">IF(ISERROR($V107),"",OFFSET('Smelter Look-up'!$D$4,$V107-4,0)&amp;"")</f>
        <v>JAPAN</v>
      </c>
      <c r="F107" s="217" t="str">
        <f ca="1">IF(ISERROR($V107),"",OFFSET('Smelter Look-up'!$E$4,$V107-4,0))</f>
        <v>CID001259</v>
      </c>
      <c r="G107" s="217" t="str">
        <f ca="1">IF(C107=$X$4,"Enter smelter details",IF(ISERROR($V107),"",OFFSET('Smelter Look-up'!$F$4,$V107-4,0)))</f>
        <v>RMI</v>
      </c>
      <c r="H107" s="218">
        <f ca="1">IF(ISERROR($V107),"",OFFSET('Smelter Look-up'!$G$4,$V107-4,0))</f>
        <v>0</v>
      </c>
      <c r="I107" s="219" t="str">
        <f ca="1">IF(ISERROR($V107),"",OFFSET('Smelter Look-up'!$H$4,$V107-4,0))</f>
        <v>Noda</v>
      </c>
      <c r="J107" s="219" t="str">
        <f ca="1">IF(ISERROR($V107),"",OFFSET('Smelter Look-up'!$I$4,$V107-4,0))</f>
        <v>Chiba</v>
      </c>
      <c r="K107" s="273"/>
      <c r="L107" s="273"/>
      <c r="M107" s="273"/>
      <c r="N107" s="273"/>
      <c r="O107" s="273"/>
      <c r="P107" s="220"/>
      <c r="Q107" s="274"/>
      <c r="R107" s="217" t="str">
        <f ca="1">IF(ISERROR($V107),"",OFFSET('Smelter Look-up'!$C$4,$V107-4,0)&amp;"")</f>
        <v>Nihon Material Co., Ltd.</v>
      </c>
      <c r="S107" s="225" t="str">
        <f t="shared" ca="1" si="15"/>
        <v>JP</v>
      </c>
      <c r="T107" s="225" t="str">
        <f ca="1">IF(B107="","",IF(ISERROR(MATCH($J107,SorP!$B$1:$B$6230,0)),"",INDIRECT("'SorP'!$A$"&amp;MATCH($J107,SorP!$B$1:$B$6230,0))))</f>
        <v>JP-12</v>
      </c>
      <c r="U107" s="241"/>
      <c r="V107" s="275">
        <f>IF(C107="",NA(),MATCH($B107&amp;$C107,'Smelter Look-up'!$J:$J,0))</f>
        <v>175</v>
      </c>
      <c r="W107" s="276"/>
      <c r="X107" s="276">
        <f t="shared" ca="1" si="16"/>
        <v>0</v>
      </c>
      <c r="Y107" s="276"/>
      <c r="Z107" s="276"/>
      <c r="AB107" s="278" t="str">
        <f t="shared" si="17"/>
        <v>GoldNihon Material Co., Ltd.</v>
      </c>
    </row>
    <row r="108" spans="1:28" s="277" customFormat="1" ht="27.95" customHeight="1">
      <c r="A108" s="216"/>
      <c r="B108" s="217" t="s">
        <v>1153</v>
      </c>
      <c r="C108" s="221" t="s">
        <v>2313</v>
      </c>
      <c r="D108" s="283"/>
      <c r="E108" s="217" t="str">
        <f ca="1">IF(ISERROR($V108),"",OFFSET('Smelter Look-up'!$D$4,$V108-4,0)&amp;"")</f>
        <v>AUSTRIA</v>
      </c>
      <c r="F108" s="217" t="str">
        <f ca="1">IF(ISERROR($V108),"",OFFSET('Smelter Look-up'!$E$4,$V108-4,0))</f>
        <v>CID002779</v>
      </c>
      <c r="G108" s="217" t="str">
        <f ca="1">IF(C108=$X$4,"Enter smelter details",IF(ISERROR($V108),"",OFFSET('Smelter Look-up'!$F$4,$V108-4,0)))</f>
        <v>RMI</v>
      </c>
      <c r="H108" s="218">
        <f ca="1">IF(ISERROR($V108),"",OFFSET('Smelter Look-up'!$G$4,$V108-4,0))</f>
        <v>0</v>
      </c>
      <c r="I108" s="219" t="str">
        <f ca="1">IF(ISERROR($V108),"",OFFSET('Smelter Look-up'!$H$4,$V108-4,0))</f>
        <v>Vienna</v>
      </c>
      <c r="J108" s="219" t="str">
        <f ca="1">IF(ISERROR($V108),"",OFFSET('Smelter Look-up'!$I$4,$V108-4,0))</f>
        <v>Wien</v>
      </c>
      <c r="K108" s="273"/>
      <c r="L108" s="273"/>
      <c r="M108" s="273"/>
      <c r="N108" s="273"/>
      <c r="O108" s="273"/>
      <c r="P108" s="220"/>
      <c r="Q108" s="274"/>
      <c r="R108" s="217" t="str">
        <f ca="1">IF(ISERROR($V108),"",OFFSET('Smelter Look-up'!$C$4,$V108-4,0)&amp;"")</f>
        <v>Ogussa Osterreichische Gold- und Silber-Scheideanstalt GmbH</v>
      </c>
      <c r="S108" s="225" t="str">
        <f t="shared" ca="1" si="15"/>
        <v>AT</v>
      </c>
      <c r="T108" s="225" t="str">
        <f ca="1">IF(B108="","",IF(ISERROR(MATCH($J108,SorP!$B$1:$B$6230,0)),"",INDIRECT("'SorP'!$A$"&amp;MATCH($J108,SorP!$B$1:$B$6230,0))))</f>
        <v>AT-9</v>
      </c>
      <c r="U108" s="241"/>
      <c r="V108" s="275">
        <f>IF(C108="",NA(),MATCH($B108&amp;$C108,'Smelter Look-up'!$J:$J,0))</f>
        <v>179</v>
      </c>
      <c r="W108" s="276"/>
      <c r="X108" s="276">
        <f t="shared" ca="1" si="16"/>
        <v>0</v>
      </c>
      <c r="Y108" s="276"/>
      <c r="Z108" s="276"/>
      <c r="AB108" s="278" t="str">
        <f t="shared" si="17"/>
        <v>GoldÖgussa Österreichische Gold- und Silber-Scheideanstalt GmbH</v>
      </c>
    </row>
    <row r="109" spans="1:28" s="277" customFormat="1" ht="27.95" customHeight="1">
      <c r="A109" s="216"/>
      <c r="B109" s="217" t="s">
        <v>1153</v>
      </c>
      <c r="C109" s="221" t="s">
        <v>2260</v>
      </c>
      <c r="D109" s="283"/>
      <c r="E109" s="217" t="str">
        <f ca="1">IF(ISERROR($V109),"",OFFSET('Smelter Look-up'!$D$4,$V109-4,0)&amp;"")</f>
        <v>JAPAN</v>
      </c>
      <c r="F109" s="217" t="str">
        <f ca="1">IF(ISERROR($V109),"",OFFSET('Smelter Look-up'!$E$4,$V109-4,0))</f>
        <v>CID001325</v>
      </c>
      <c r="G109" s="217" t="str">
        <f ca="1">IF(C109=$X$4,"Enter smelter details",IF(ISERROR($V109),"",OFFSET('Smelter Look-up'!$F$4,$V109-4,0)))</f>
        <v>RMI</v>
      </c>
      <c r="H109" s="218">
        <f ca="1">IF(ISERROR($V109),"",OFFSET('Smelter Look-up'!$G$4,$V109-4,0))</f>
        <v>0</v>
      </c>
      <c r="I109" s="219" t="str">
        <f ca="1">IF(ISERROR($V109),"",OFFSET('Smelter Look-up'!$H$4,$V109-4,0))</f>
        <v>Nara-shi</v>
      </c>
      <c r="J109" s="219" t="str">
        <f ca="1">IF(ISERROR($V109),"",OFFSET('Smelter Look-up'!$I$4,$V109-4,0))</f>
        <v>Nara</v>
      </c>
      <c r="K109" s="273"/>
      <c r="L109" s="273"/>
      <c r="M109" s="273"/>
      <c r="N109" s="273"/>
      <c r="O109" s="273"/>
      <c r="P109" s="220"/>
      <c r="Q109" s="274"/>
      <c r="R109" s="217" t="str">
        <f ca="1">IF(ISERROR($V109),"",OFFSET('Smelter Look-up'!$C$4,$V109-4,0)&amp;"")</f>
        <v>Ohura Precious Metal Industry Co., Ltd.</v>
      </c>
      <c r="S109" s="225" t="str">
        <f t="shared" ca="1" si="15"/>
        <v>JP</v>
      </c>
      <c r="T109" s="225" t="str">
        <f ca="1">IF(B109="","",IF(ISERROR(MATCH($J109,SorP!$B$1:$B$6230,0)),"",INDIRECT("'SorP'!$A$"&amp;MATCH($J109,SorP!$B$1:$B$6230,0))))</f>
        <v>JP-29</v>
      </c>
      <c r="U109" s="241"/>
      <c r="V109" s="275">
        <f>IF(C109="",NA(),MATCH($B109&amp;$C109,'Smelter Look-up'!$J:$J,0))</f>
        <v>180</v>
      </c>
      <c r="W109" s="276"/>
      <c r="X109" s="276">
        <f t="shared" ca="1" si="16"/>
        <v>0</v>
      </c>
      <c r="Y109" s="276"/>
      <c r="Z109" s="276"/>
      <c r="AB109" s="278" t="str">
        <f t="shared" si="17"/>
        <v>GoldOhura Precious Metal Industry Co., Ltd.</v>
      </c>
    </row>
    <row r="110" spans="1:28" s="277" customFormat="1" ht="27.95" customHeight="1">
      <c r="A110" s="216"/>
      <c r="B110" s="217" t="s">
        <v>1153</v>
      </c>
      <c r="C110" s="221" t="s">
        <v>2369</v>
      </c>
      <c r="D110" s="283"/>
      <c r="E110" s="217" t="str">
        <f ca="1">IF(ISERROR($V110),"",OFFSET('Smelter Look-up'!$D$4,$V110-4,0)&amp;"")</f>
        <v>RUSSIAN FEDERATION</v>
      </c>
      <c r="F110" s="217" t="str">
        <f ca="1">IF(ISERROR($V110),"",OFFSET('Smelter Look-up'!$E$4,$V110-4,0))</f>
        <v>CID001326</v>
      </c>
      <c r="G110" s="217" t="str">
        <f ca="1">IF(C110=$X$4,"Enter smelter details",IF(ISERROR($V110),"",OFFSET('Smelter Look-up'!$F$4,$V110-4,0)))</f>
        <v>RMI</v>
      </c>
      <c r="H110" s="218">
        <f ca="1">IF(ISERROR($V110),"",OFFSET('Smelter Look-up'!$G$4,$V110-4,0))</f>
        <v>0</v>
      </c>
      <c r="I110" s="219" t="str">
        <f ca="1">IF(ISERROR($V110),"",OFFSET('Smelter Look-up'!$H$4,$V110-4,0))</f>
        <v>Krasnoyarsk</v>
      </c>
      <c r="J110" s="219" t="str">
        <f ca="1">IF(ISERROR($V110),"",OFFSET('Smelter Look-up'!$I$4,$V110-4,0))</f>
        <v>Krasnoyarskiy kray</v>
      </c>
      <c r="K110" s="273"/>
      <c r="L110" s="273"/>
      <c r="M110" s="273"/>
      <c r="N110" s="273"/>
      <c r="O110" s="273"/>
      <c r="P110" s="220"/>
      <c r="Q110" s="274"/>
      <c r="R110" s="217" t="str">
        <f ca="1">IF(ISERROR($V110),"",OFFSET('Smelter Look-up'!$C$4,$V110-4,0)&amp;"")</f>
        <v>OJSC "The Gulidov Krasnoyarsk Non-Ferrous Metals Plant" (OJSC Krastsvetmet)</v>
      </c>
      <c r="S110" s="225" t="str">
        <f t="shared" ca="1" si="15"/>
        <v>RU</v>
      </c>
      <c r="T110" s="225" t="str">
        <f ca="1">IF(B110="","",IF(ISERROR(MATCH($J110,SorP!$B$1:$B$6230,0)),"",INDIRECT("'SorP'!$A$"&amp;MATCH($J110,SorP!$B$1:$B$6230,0))))</f>
        <v>RU-KYA</v>
      </c>
      <c r="U110" s="241"/>
      <c r="V110" s="275">
        <f>IF(C110="",NA(),MATCH($B110&amp;$C110,'Smelter Look-up'!$J:$J,0))</f>
        <v>181</v>
      </c>
      <c r="W110" s="276"/>
      <c r="X110" s="276">
        <f t="shared" ca="1" si="16"/>
        <v>0</v>
      </c>
      <c r="Y110" s="276"/>
      <c r="Z110" s="276"/>
      <c r="AB110" s="278" t="str">
        <f t="shared" si="17"/>
        <v>GoldOJSC "The Gulidov Krasnoyarsk Non-Ferrous Metals Plant" (OJSC Krastsvetmet)</v>
      </c>
    </row>
    <row r="111" spans="1:28" s="277" customFormat="1" ht="27.95" customHeight="1">
      <c r="A111" s="216"/>
      <c r="B111" s="217" t="s">
        <v>1153</v>
      </c>
      <c r="C111" s="221" t="s">
        <v>2308</v>
      </c>
      <c r="D111" s="283"/>
      <c r="E111" s="217" t="str">
        <f ca="1">IF(ISERROR($V111),"",OFFSET('Smelter Look-up'!$D$4,$V111-4,0)&amp;"")</f>
        <v>RUSSIAN FEDERATION</v>
      </c>
      <c r="F111" s="217" t="str">
        <f ca="1">IF(ISERROR($V111),"",OFFSET('Smelter Look-up'!$E$4,$V111-4,0))</f>
        <v>CID000493</v>
      </c>
      <c r="G111" s="217" t="str">
        <f ca="1">IF(C111=$X$4,"Enter smelter details",IF(ISERROR($V111),"",OFFSET('Smelter Look-up'!$F$4,$V111-4,0)))</f>
        <v>RMI</v>
      </c>
      <c r="H111" s="218">
        <f ca="1">IF(ISERROR($V111),"",OFFSET('Smelter Look-up'!$G$4,$V111-4,0))</f>
        <v>0</v>
      </c>
      <c r="I111" s="219" t="str">
        <f ca="1">IF(ISERROR($V111),"",OFFSET('Smelter Look-up'!$H$4,$V111-4,0))</f>
        <v>Novosibirsk</v>
      </c>
      <c r="J111" s="219" t="str">
        <f ca="1">IF(ISERROR($V111),"",OFFSET('Smelter Look-up'!$I$4,$V111-4,0))</f>
        <v>Novosibirskaya oblast'</v>
      </c>
      <c r="K111" s="273"/>
      <c r="L111" s="273"/>
      <c r="M111" s="273"/>
      <c r="N111" s="273"/>
      <c r="O111" s="273"/>
      <c r="P111" s="220"/>
      <c r="Q111" s="274"/>
      <c r="R111" s="217" t="str">
        <f ca="1">IF(ISERROR($V111),"",OFFSET('Smelter Look-up'!$C$4,$V111-4,0)&amp;"")</f>
        <v>OJSC Novosibirsk Refinery</v>
      </c>
      <c r="S111" s="225" t="str">
        <f t="shared" ca="1" si="15"/>
        <v>RU</v>
      </c>
      <c r="T111" s="225" t="str">
        <f ca="1">IF(B111="","",IF(ISERROR(MATCH($J111,SorP!$B$1:$B$6230,0)),"",INDIRECT("'SorP'!$A$"&amp;MATCH($J111,SorP!$B$1:$B$6230,0))))</f>
        <v>RU-NVS</v>
      </c>
      <c r="U111" s="241"/>
      <c r="V111" s="275">
        <f>IF(C111="",NA(),MATCH($B111&amp;$C111,'Smelter Look-up'!$J:$J,0))</f>
        <v>183</v>
      </c>
      <c r="W111" s="276"/>
      <c r="X111" s="276">
        <f t="shared" ca="1" si="16"/>
        <v>0</v>
      </c>
      <c r="Y111" s="276"/>
      <c r="Z111" s="276"/>
      <c r="AB111" s="278" t="str">
        <f t="shared" si="17"/>
        <v>GoldOJSC Novosibirsk Refinery</v>
      </c>
    </row>
    <row r="112" spans="1:28" s="277" customFormat="1" ht="27.95" customHeight="1">
      <c r="A112" s="216"/>
      <c r="B112" s="217" t="s">
        <v>1153</v>
      </c>
      <c r="C112" s="221" t="s">
        <v>2439</v>
      </c>
      <c r="D112" s="283"/>
      <c r="E112" s="217" t="str">
        <f ca="1">IF(ISERROR($V112),"",OFFSET('Smelter Look-up'!$D$4,$V112-4,0)&amp;"")</f>
        <v>SWITZERLAND</v>
      </c>
      <c r="F112" s="217" t="str">
        <f ca="1">IF(ISERROR($V112),"",OFFSET('Smelter Look-up'!$E$4,$V112-4,0))</f>
        <v>CID001352</v>
      </c>
      <c r="G112" s="217" t="str">
        <f ca="1">IF(C112=$X$4,"Enter smelter details",IF(ISERROR($V112),"",OFFSET('Smelter Look-up'!$F$4,$V112-4,0)))</f>
        <v>RMI</v>
      </c>
      <c r="H112" s="218">
        <f ca="1">IF(ISERROR($V112),"",OFFSET('Smelter Look-up'!$G$4,$V112-4,0))</f>
        <v>0</v>
      </c>
      <c r="I112" s="219" t="str">
        <f ca="1">IF(ISERROR($V112),"",OFFSET('Smelter Look-up'!$H$4,$V112-4,0))</f>
        <v>Castel San Pietro</v>
      </c>
      <c r="J112" s="219" t="str">
        <f ca="1">IF(ISERROR($V112),"",OFFSET('Smelter Look-up'!$I$4,$V112-4,0))</f>
        <v>Ticino</v>
      </c>
      <c r="K112" s="273"/>
      <c r="L112" s="273"/>
      <c r="M112" s="273"/>
      <c r="N112" s="273"/>
      <c r="O112" s="273"/>
      <c r="P112" s="220"/>
      <c r="Q112" s="274"/>
      <c r="R112" s="217" t="str">
        <f ca="1">IF(ISERROR($V112),"",OFFSET('Smelter Look-up'!$C$4,$V112-4,0)&amp;"")</f>
        <v>PAMP S.A.</v>
      </c>
      <c r="S112" s="225" t="str">
        <f t="shared" ca="1" si="15"/>
        <v>CH</v>
      </c>
      <c r="T112" s="225" t="str">
        <f ca="1">IF(B112="","",IF(ISERROR(MATCH($J112,SorP!$B$1:$B$6230,0)),"",INDIRECT("'SorP'!$A$"&amp;MATCH($J112,SorP!$B$1:$B$6230,0))))</f>
        <v>CH-TI</v>
      </c>
      <c r="U112" s="241"/>
      <c r="V112" s="275">
        <f>IF(C112="",NA(),MATCH($B112&amp;$C112,'Smelter Look-up'!$J:$J,0))</f>
        <v>184</v>
      </c>
      <c r="W112" s="276"/>
      <c r="X112" s="276">
        <f t="shared" ca="1" si="16"/>
        <v>0</v>
      </c>
      <c r="Y112" s="276"/>
      <c r="Z112" s="276"/>
      <c r="AB112" s="278" t="str">
        <f t="shared" si="17"/>
        <v>GoldPAMP S.A.</v>
      </c>
    </row>
    <row r="113" spans="1:28" s="277" customFormat="1" ht="27.95" customHeight="1">
      <c r="A113" s="216"/>
      <c r="B113" s="217" t="s">
        <v>1153</v>
      </c>
      <c r="C113" s="221" t="s">
        <v>2585</v>
      </c>
      <c r="D113" s="283"/>
      <c r="E113" s="217" t="str">
        <f ca="1">IF(ISERROR($V113),"",OFFSET('Smelter Look-up'!$D$4,$V113-4,0)&amp;"")</f>
        <v>UNITED STATES OF AMERICA</v>
      </c>
      <c r="F113" s="217" t="str">
        <f ca="1">IF(ISERROR($V113),"",OFFSET('Smelter Look-up'!$E$4,$V113-4,0))</f>
        <v>CID002872</v>
      </c>
      <c r="G113" s="217" t="str">
        <f ca="1">IF(C113=$X$4,"Enter smelter details",IF(ISERROR($V113),"",OFFSET('Smelter Look-up'!$F$4,$V113-4,0)))</f>
        <v>RMI</v>
      </c>
      <c r="H113" s="218">
        <f ca="1">IF(ISERROR($V113),"",OFFSET('Smelter Look-up'!$G$4,$V113-4,0))</f>
        <v>0</v>
      </c>
      <c r="I113" s="219" t="str">
        <f ca="1">IF(ISERROR($V113),"",OFFSET('Smelter Look-up'!$H$4,$V113-4,0))</f>
        <v>Warwick</v>
      </c>
      <c r="J113" s="219" t="str">
        <f ca="1">IF(ISERROR($V113),"",OFFSET('Smelter Look-up'!$I$4,$V113-4,0))</f>
        <v>Rhode Island</v>
      </c>
      <c r="K113" s="273"/>
      <c r="L113" s="273"/>
      <c r="M113" s="273"/>
      <c r="N113" s="273"/>
      <c r="O113" s="273"/>
      <c r="P113" s="220"/>
      <c r="Q113" s="274"/>
      <c r="R113" s="217" t="str">
        <f ca="1">IF(ISERROR($V113),"",OFFSET('Smelter Look-up'!$C$4,$V113-4,0)&amp;"")</f>
        <v>Pease &amp; Curren</v>
      </c>
      <c r="S113" s="225" t="str">
        <f t="shared" ca="1" si="15"/>
        <v>US</v>
      </c>
      <c r="T113" s="225" t="str">
        <f ca="1">IF(B113="","",IF(ISERROR(MATCH($J113,SorP!$B$1:$B$6230,0)),"",INDIRECT("'SorP'!$A$"&amp;MATCH($J113,SorP!$B$1:$B$6230,0))))</f>
        <v>US-RI</v>
      </c>
      <c r="U113" s="241"/>
      <c r="V113" s="275">
        <f>IF(C113="",NA(),MATCH($B113&amp;$C113,'Smelter Look-up'!$J:$J,0))</f>
        <v>186</v>
      </c>
      <c r="W113" s="276"/>
      <c r="X113" s="276">
        <f t="shared" ca="1" si="16"/>
        <v>0</v>
      </c>
      <c r="Y113" s="276"/>
      <c r="Z113" s="276"/>
      <c r="AB113" s="278" t="str">
        <f t="shared" si="17"/>
        <v>GoldPease &amp; Curren</v>
      </c>
    </row>
    <row r="114" spans="1:28" s="277" customFormat="1" ht="27.95" customHeight="1">
      <c r="A114" s="216"/>
      <c r="B114" s="217" t="s">
        <v>1153</v>
      </c>
      <c r="C114" s="221" t="s">
        <v>2261</v>
      </c>
      <c r="D114" s="283"/>
      <c r="E114" s="217" t="str">
        <f ca="1">IF(ISERROR($V114),"",OFFSET('Smelter Look-up'!$D$4,$V114-4,0)&amp;"")</f>
        <v>CHINA</v>
      </c>
      <c r="F114" s="217" t="str">
        <f ca="1">IF(ISERROR($V114),"",OFFSET('Smelter Look-up'!$E$4,$V114-4,0))</f>
        <v>CID001362</v>
      </c>
      <c r="G114" s="217" t="str">
        <f ca="1">IF(C114=$X$4,"Enter smelter details",IF(ISERROR($V114),"",OFFSET('Smelter Look-up'!$F$4,$V114-4,0)))</f>
        <v>RMI</v>
      </c>
      <c r="H114" s="218">
        <f ca="1">IF(ISERROR($V114),"",OFFSET('Smelter Look-up'!$G$4,$V114-4,0))</f>
        <v>0</v>
      </c>
      <c r="I114" s="219" t="str">
        <f ca="1">IF(ISERROR($V114),"",OFFSET('Smelter Look-up'!$H$4,$V114-4,0))</f>
        <v>Penglai</v>
      </c>
      <c r="J114" s="219" t="str">
        <f ca="1">IF(ISERROR($V114),"",OFFSET('Smelter Look-up'!$I$4,$V114-4,0))</f>
        <v>Shandong Sheng</v>
      </c>
      <c r="K114" s="273"/>
      <c r="L114" s="273"/>
      <c r="M114" s="273"/>
      <c r="N114" s="273"/>
      <c r="O114" s="273"/>
      <c r="P114" s="220"/>
      <c r="Q114" s="274"/>
      <c r="R114" s="217" t="str">
        <f ca="1">IF(ISERROR($V114),"",OFFSET('Smelter Look-up'!$C$4,$V114-4,0)&amp;"")</f>
        <v>Penglai Penggang Gold Industry Co., Ltd.</v>
      </c>
      <c r="S114" s="225" t="str">
        <f t="shared" ca="1" si="15"/>
        <v>CN</v>
      </c>
      <c r="T114" s="225" t="str">
        <f ca="1">IF(B114="","",IF(ISERROR(MATCH($J114,SorP!$B$1:$B$6230,0)),"",INDIRECT("'SorP'!$A$"&amp;MATCH($J114,SorP!$B$1:$B$6230,0))))</f>
        <v>CN-SD</v>
      </c>
      <c r="U114" s="241"/>
      <c r="V114" s="275">
        <f>IF(C114="",NA(),MATCH($B114&amp;$C114,'Smelter Look-up'!$J:$J,0))</f>
        <v>187</v>
      </c>
      <c r="W114" s="276"/>
      <c r="X114" s="276">
        <f t="shared" ca="1" si="16"/>
        <v>0</v>
      </c>
      <c r="Y114" s="276"/>
      <c r="Z114" s="276"/>
      <c r="AB114" s="278" t="str">
        <f t="shared" si="17"/>
        <v>GoldPenglai Penggang Gold Industry Co., Ltd.</v>
      </c>
    </row>
    <row r="115" spans="1:28" s="277" customFormat="1" ht="27.95" customHeight="1">
      <c r="A115" s="216"/>
      <c r="B115" s="217" t="s">
        <v>1153</v>
      </c>
      <c r="C115" s="221" t="s">
        <v>2661</v>
      </c>
      <c r="D115" s="283"/>
      <c r="E115" s="217" t="str">
        <f ca="1">IF(ISERROR($V115),"",OFFSET('Smelter Look-up'!$D$4,$V115-4,0)&amp;"")</f>
        <v>CHILE</v>
      </c>
      <c r="F115" s="217" t="str">
        <f ca="1">IF(ISERROR($V115),"",OFFSET('Smelter Look-up'!$E$4,$V115-4,0))</f>
        <v>CID002919</v>
      </c>
      <c r="G115" s="217" t="str">
        <f ca="1">IF(C115=$X$4,"Enter smelter details",IF(ISERROR($V115),"",OFFSET('Smelter Look-up'!$F$4,$V115-4,0)))</f>
        <v>RMI</v>
      </c>
      <c r="H115" s="218">
        <f ca="1">IF(ISERROR($V115),"",OFFSET('Smelter Look-up'!$G$4,$V115-4,0))</f>
        <v>0</v>
      </c>
      <c r="I115" s="219" t="str">
        <f ca="1">IF(ISERROR($V115),"",OFFSET('Smelter Look-up'!$H$4,$V115-4,0))</f>
        <v>Mejillones</v>
      </c>
      <c r="J115" s="219" t="str">
        <f ca="1">IF(ISERROR($V115),"",OFFSET('Smelter Look-up'!$I$4,$V115-4,0))</f>
        <v>Antofagasta</v>
      </c>
      <c r="K115" s="273"/>
      <c r="L115" s="273"/>
      <c r="M115" s="273"/>
      <c r="N115" s="273"/>
      <c r="O115" s="273"/>
      <c r="P115" s="220"/>
      <c r="Q115" s="274"/>
      <c r="R115" s="217" t="str">
        <f ca="1">IF(ISERROR($V115),"",OFFSET('Smelter Look-up'!$C$4,$V115-4,0)&amp;"")</f>
        <v>Planta Recuperadora de Metales SpA</v>
      </c>
      <c r="S115" s="225" t="str">
        <f t="shared" ca="1" si="15"/>
        <v>CL</v>
      </c>
      <c r="T115" s="225" t="str">
        <f ca="1">IF(B115="","",IF(ISERROR(MATCH($J115,SorP!$B$1:$B$6230,0)),"",INDIRECT("'SorP'!$A$"&amp;MATCH($J115,SorP!$B$1:$B$6230,0))))</f>
        <v>CL-AN</v>
      </c>
      <c r="U115" s="241"/>
      <c r="V115" s="275">
        <f>IF(C115="",NA(),MATCH($B115&amp;$C115,'Smelter Look-up'!$J:$J,0))</f>
        <v>190</v>
      </c>
      <c r="W115" s="276"/>
      <c r="X115" s="276">
        <f t="shared" ca="1" si="16"/>
        <v>0</v>
      </c>
      <c r="Y115" s="276"/>
      <c r="Z115" s="276"/>
      <c r="AB115" s="278" t="str">
        <f t="shared" si="17"/>
        <v>GoldPlanta Recuperadora de Metales SpA</v>
      </c>
    </row>
    <row r="116" spans="1:28" s="277" customFormat="1" ht="27.95" customHeight="1">
      <c r="A116" s="216"/>
      <c r="B116" s="217" t="s">
        <v>1153</v>
      </c>
      <c r="C116" s="221" t="s">
        <v>935</v>
      </c>
      <c r="D116" s="283"/>
      <c r="E116" s="217" t="str">
        <f ca="1">IF(ISERROR($V116),"",OFFSET('Smelter Look-up'!$D$4,$V116-4,0)&amp;"")</f>
        <v>RUSSIAN FEDERATION</v>
      </c>
      <c r="F116" s="217" t="str">
        <f ca="1">IF(ISERROR($V116),"",OFFSET('Smelter Look-up'!$E$4,$V116-4,0))</f>
        <v>CID001386</v>
      </c>
      <c r="G116" s="217" t="str">
        <f ca="1">IF(C116=$X$4,"Enter smelter details",IF(ISERROR($V116),"",OFFSET('Smelter Look-up'!$F$4,$V116-4,0)))</f>
        <v>RMI</v>
      </c>
      <c r="H116" s="218">
        <f ca="1">IF(ISERROR($V116),"",OFFSET('Smelter Look-up'!$G$4,$V116-4,0))</f>
        <v>0</v>
      </c>
      <c r="I116" s="219" t="str">
        <f ca="1">IF(ISERROR($V116),"",OFFSET('Smelter Look-up'!$H$4,$V116-4,0))</f>
        <v>Kasimov</v>
      </c>
      <c r="J116" s="219" t="str">
        <f ca="1">IF(ISERROR($V116),"",OFFSET('Smelter Look-up'!$I$4,$V116-4,0))</f>
        <v>Ryazanskaya oblast'</v>
      </c>
      <c r="K116" s="273"/>
      <c r="L116" s="273"/>
      <c r="M116" s="273"/>
      <c r="N116" s="273"/>
      <c r="O116" s="273"/>
      <c r="P116" s="220"/>
      <c r="Q116" s="274"/>
      <c r="R116" s="217" t="str">
        <f ca="1">IF(ISERROR($V116),"",OFFSET('Smelter Look-up'!$C$4,$V116-4,0)&amp;"")</f>
        <v>Prioksky Plant of Non-Ferrous Metals</v>
      </c>
      <c r="S116" s="225" t="str">
        <f t="shared" ca="1" si="15"/>
        <v>RU</v>
      </c>
      <c r="T116" s="225" t="str">
        <f ca="1">IF(B116="","",IF(ISERROR(MATCH($J116,SorP!$B$1:$B$6230,0)),"",INDIRECT("'SorP'!$A$"&amp;MATCH($J116,SorP!$B$1:$B$6230,0))))</f>
        <v>RU-RYA</v>
      </c>
      <c r="U116" s="241"/>
      <c r="V116" s="275">
        <f>IF(C116="",NA(),MATCH($B116&amp;$C116,'Smelter Look-up'!$J:$J,0))</f>
        <v>191</v>
      </c>
      <c r="W116" s="276"/>
      <c r="X116" s="276">
        <f t="shared" ca="1" si="16"/>
        <v>0</v>
      </c>
      <c r="Y116" s="276"/>
      <c r="Z116" s="276"/>
      <c r="AB116" s="278" t="str">
        <f t="shared" si="17"/>
        <v>GoldPrioksky Plant of Non-Ferrous Metals</v>
      </c>
    </row>
    <row r="117" spans="1:28" s="277" customFormat="1" ht="27.95" customHeight="1">
      <c r="A117" s="216"/>
      <c r="B117" s="217" t="s">
        <v>1153</v>
      </c>
      <c r="C117" s="221" t="s">
        <v>1255</v>
      </c>
      <c r="D117" s="283"/>
      <c r="E117" s="217" t="str">
        <f ca="1">IF(ISERROR($V117),"",OFFSET('Smelter Look-up'!$D$4,$V117-4,0)&amp;"")</f>
        <v>INDONESIA</v>
      </c>
      <c r="F117" s="217" t="str">
        <f ca="1">IF(ISERROR($V117),"",OFFSET('Smelter Look-up'!$E$4,$V117-4,0))</f>
        <v>CID001397</v>
      </c>
      <c r="G117" s="217" t="str">
        <f ca="1">IF(C117=$X$4,"Enter smelter details",IF(ISERROR($V117),"",OFFSET('Smelter Look-up'!$F$4,$V117-4,0)))</f>
        <v>RMI</v>
      </c>
      <c r="H117" s="218">
        <f ca="1">IF(ISERROR($V117),"",OFFSET('Smelter Look-up'!$G$4,$V117-4,0))</f>
        <v>0</v>
      </c>
      <c r="I117" s="219" t="str">
        <f ca="1">IF(ISERROR($V117),"",OFFSET('Smelter Look-up'!$H$4,$V117-4,0))</f>
        <v>Jakarta</v>
      </c>
      <c r="J117" s="219" t="str">
        <f ca="1">IF(ISERROR($V117),"",OFFSET('Smelter Look-up'!$I$4,$V117-4,0))</f>
        <v>Jakarta Raya</v>
      </c>
      <c r="K117" s="273"/>
      <c r="L117" s="273"/>
      <c r="M117" s="273"/>
      <c r="N117" s="273"/>
      <c r="O117" s="273"/>
      <c r="P117" s="220"/>
      <c r="Q117" s="274"/>
      <c r="R117" s="217" t="str">
        <f ca="1">IF(ISERROR($V117),"",OFFSET('Smelter Look-up'!$C$4,$V117-4,0)&amp;"")</f>
        <v>PT Aneka Tambang (Persero) Tbk</v>
      </c>
      <c r="S117" s="225" t="str">
        <f t="shared" ca="1" si="15"/>
        <v>ID</v>
      </c>
      <c r="T117" s="225" t="str">
        <f ca="1">IF(B117="","",IF(ISERROR(MATCH($J117,SorP!$B$1:$B$6230,0)),"",INDIRECT("'SorP'!$A$"&amp;MATCH($J117,SorP!$B$1:$B$6230,0))))</f>
        <v>ID-JK</v>
      </c>
      <c r="U117" s="241"/>
      <c r="V117" s="275">
        <f>IF(C117="",NA(),MATCH($B117&amp;$C117,'Smelter Look-up'!$J:$J,0))</f>
        <v>193</v>
      </c>
      <c r="W117" s="276"/>
      <c r="X117" s="276">
        <f t="shared" ca="1" si="16"/>
        <v>0</v>
      </c>
      <c r="Y117" s="276"/>
      <c r="Z117" s="276"/>
      <c r="AB117" s="278" t="str">
        <f t="shared" si="17"/>
        <v>GoldPT Aneka Tambang (Persero) Tbk</v>
      </c>
    </row>
    <row r="118" spans="1:28" s="277" customFormat="1" ht="27.95" customHeight="1">
      <c r="A118" s="216"/>
      <c r="B118" s="217" t="s">
        <v>1153</v>
      </c>
      <c r="C118" s="221" t="s">
        <v>2440</v>
      </c>
      <c r="D118" s="283"/>
      <c r="E118" s="217" t="str">
        <f ca="1">IF(ISERROR($V118),"",OFFSET('Smelter Look-up'!$D$4,$V118-4,0)&amp;"")</f>
        <v>SWITZERLAND</v>
      </c>
      <c r="F118" s="217" t="str">
        <f ca="1">IF(ISERROR($V118),"",OFFSET('Smelter Look-up'!$E$4,$V118-4,0))</f>
        <v>CID001498</v>
      </c>
      <c r="G118" s="217" t="str">
        <f ca="1">IF(C118=$X$4,"Enter smelter details",IF(ISERROR($V118),"",OFFSET('Smelter Look-up'!$F$4,$V118-4,0)))</f>
        <v>RMI</v>
      </c>
      <c r="H118" s="218">
        <f ca="1">IF(ISERROR($V118),"",OFFSET('Smelter Look-up'!$G$4,$V118-4,0))</f>
        <v>0</v>
      </c>
      <c r="I118" s="219" t="str">
        <f ca="1">IF(ISERROR($V118),"",OFFSET('Smelter Look-up'!$H$4,$V118-4,0))</f>
        <v>La Chaux-de-Fonds</v>
      </c>
      <c r="J118" s="219" t="str">
        <f ca="1">IF(ISERROR($V118),"",OFFSET('Smelter Look-up'!$I$4,$V118-4,0))</f>
        <v>Neuchâtel</v>
      </c>
      <c r="K118" s="273"/>
      <c r="L118" s="273"/>
      <c r="M118" s="273"/>
      <c r="N118" s="273"/>
      <c r="O118" s="273"/>
      <c r="P118" s="220"/>
      <c r="Q118" s="274"/>
      <c r="R118" s="217" t="str">
        <f ca="1">IF(ISERROR($V118),"",OFFSET('Smelter Look-up'!$C$4,$V118-4,0)&amp;"")</f>
        <v>PX Precinox S.A.</v>
      </c>
      <c r="S118" s="225" t="str">
        <f t="shared" ca="1" si="15"/>
        <v>CH</v>
      </c>
      <c r="T118" s="225" t="str">
        <f ca="1">IF(B118="","",IF(ISERROR(MATCH($J118,SorP!$B$1:$B$6230,0)),"",INDIRECT("'SorP'!$A$"&amp;MATCH($J118,SorP!$B$1:$B$6230,0))))</f>
        <v>CH-NE</v>
      </c>
      <c r="U118" s="241"/>
      <c r="V118" s="275">
        <f>IF(C118="",NA(),MATCH($B118&amp;$C118,'Smelter Look-up'!$J:$J,0))</f>
        <v>195</v>
      </c>
      <c r="W118" s="276"/>
      <c r="X118" s="276">
        <f t="shared" ca="1" si="16"/>
        <v>0</v>
      </c>
      <c r="Y118" s="276"/>
      <c r="Z118" s="276"/>
      <c r="AB118" s="278" t="str">
        <f t="shared" si="17"/>
        <v>GoldPX Précinox S.A.</v>
      </c>
    </row>
    <row r="119" spans="1:28" s="277" customFormat="1" ht="27.95" customHeight="1">
      <c r="A119" s="216"/>
      <c r="B119" s="217" t="s">
        <v>1153</v>
      </c>
      <c r="C119" s="221" t="s">
        <v>13515</v>
      </c>
      <c r="D119" s="283"/>
      <c r="E119" s="217" t="str">
        <f ca="1">IF(ISERROR($V119),"",OFFSET('Smelter Look-up'!$D$4,$V119-4,0)&amp;"")</f>
        <v>UNITED STATES OF AMERICA</v>
      </c>
      <c r="F119" s="217" t="str">
        <f ca="1">IF(ISERROR($V119),"",OFFSET('Smelter Look-up'!$E$4,$V119-4,0))</f>
        <v>CID003324</v>
      </c>
      <c r="G119" s="217" t="str">
        <f ca="1">IF(C119=$X$4,"Enter smelter details",IF(ISERROR($V119),"",OFFSET('Smelter Look-up'!$F$4,$V119-4,0)))</f>
        <v>RMI</v>
      </c>
      <c r="H119" s="218">
        <f ca="1">IF(ISERROR($V119),"",OFFSET('Smelter Look-up'!$G$4,$V119-4,0))</f>
        <v>0</v>
      </c>
      <c r="I119" s="219" t="str">
        <f ca="1">IF(ISERROR($V119),"",OFFSET('Smelter Look-up'!$H$4,$V119-4,0))</f>
        <v>Fairfield</v>
      </c>
      <c r="J119" s="219" t="str">
        <f ca="1">IF(ISERROR($V119),"",OFFSET('Smelter Look-up'!$I$4,$V119-4,0))</f>
        <v>Ohio</v>
      </c>
      <c r="K119" s="273"/>
      <c r="L119" s="273"/>
      <c r="M119" s="273"/>
      <c r="N119" s="273"/>
      <c r="O119" s="273"/>
      <c r="P119" s="220"/>
      <c r="Q119" s="274"/>
      <c r="R119" s="217" t="str">
        <f ca="1">IF(ISERROR($V119),"",OFFSET('Smelter Look-up'!$C$4,$V119-4,0)&amp;"")</f>
        <v>QG Refining, LLC</v>
      </c>
      <c r="S119" s="225" t="str">
        <f t="shared" ca="1" si="15"/>
        <v>US</v>
      </c>
      <c r="T119" s="225" t="str">
        <f ca="1">IF(B119="","",IF(ISERROR(MATCH($J119,SorP!$B$1:$B$6230,0)),"",INDIRECT("'SorP'!$A$"&amp;MATCH($J119,SorP!$B$1:$B$6230,0))))</f>
        <v>US-OH</v>
      </c>
      <c r="U119" s="241"/>
      <c r="V119" s="275">
        <f>IF(C119="",NA(),MATCH($B119&amp;$C119,'Smelter Look-up'!$J:$J,0))</f>
        <v>196</v>
      </c>
      <c r="W119" s="276"/>
      <c r="X119" s="276">
        <f t="shared" ca="1" si="16"/>
        <v>0</v>
      </c>
      <c r="Y119" s="276"/>
      <c r="Z119" s="276"/>
      <c r="AB119" s="278" t="str">
        <f t="shared" si="17"/>
        <v>GoldQG Refining, LLC</v>
      </c>
    </row>
    <row r="120" spans="1:28" s="277" customFormat="1" ht="27.95" customHeight="1">
      <c r="A120" s="216"/>
      <c r="B120" s="217" t="s">
        <v>1153</v>
      </c>
      <c r="C120" s="221" t="s">
        <v>2263</v>
      </c>
      <c r="D120" s="283"/>
      <c r="E120" s="217" t="str">
        <f ca="1">IF(ISERROR($V120),"",OFFSET('Smelter Look-up'!$D$4,$V120-4,0)&amp;"")</f>
        <v>SOUTH AFRICA</v>
      </c>
      <c r="F120" s="217" t="str">
        <f ca="1">IF(ISERROR($V120),"",OFFSET('Smelter Look-up'!$E$4,$V120-4,0))</f>
        <v>CID001512</v>
      </c>
      <c r="G120" s="217" t="str">
        <f ca="1">IF(C120=$X$4,"Enter smelter details",IF(ISERROR($V120),"",OFFSET('Smelter Look-up'!$F$4,$V120-4,0)))</f>
        <v>RMI</v>
      </c>
      <c r="H120" s="218">
        <f ca="1">IF(ISERROR($V120),"",OFFSET('Smelter Look-up'!$G$4,$V120-4,0))</f>
        <v>0</v>
      </c>
      <c r="I120" s="219" t="str">
        <f ca="1">IF(ISERROR($V120),"",OFFSET('Smelter Look-up'!$H$4,$V120-4,0))</f>
        <v>Germiston</v>
      </c>
      <c r="J120" s="219" t="str">
        <f ca="1">IF(ISERROR($V120),"",OFFSET('Smelter Look-up'!$I$4,$V120-4,0))</f>
        <v>Gauteng</v>
      </c>
      <c r="K120" s="273"/>
      <c r="L120" s="273"/>
      <c r="M120" s="273"/>
      <c r="N120" s="273"/>
      <c r="O120" s="273"/>
      <c r="P120" s="220"/>
      <c r="Q120" s="274"/>
      <c r="R120" s="217" t="str">
        <f ca="1">IF(ISERROR($V120),"",OFFSET('Smelter Look-up'!$C$4,$V120-4,0)&amp;"")</f>
        <v>Rand Refinery (Pty) Ltd.</v>
      </c>
      <c r="S120" s="225" t="str">
        <f t="shared" ca="1" si="15"/>
        <v>ZA</v>
      </c>
      <c r="T120" s="225" t="str">
        <f ca="1">IF(B120="","",IF(ISERROR(MATCH($J120,SorP!$B$1:$B$6230,0)),"",INDIRECT("'SorP'!$A$"&amp;MATCH($J120,SorP!$B$1:$B$6230,0))))</f>
        <v>ZA-GT</v>
      </c>
      <c r="U120" s="241"/>
      <c r="V120" s="275">
        <f>IF(C120="",NA(),MATCH($B120&amp;$C120,'Smelter Look-up'!$J:$J,0))</f>
        <v>197</v>
      </c>
      <c r="W120" s="276"/>
      <c r="X120" s="276">
        <f t="shared" ca="1" si="16"/>
        <v>0</v>
      </c>
      <c r="Y120" s="276"/>
      <c r="Z120" s="276"/>
      <c r="AB120" s="278" t="str">
        <f t="shared" si="17"/>
        <v>GoldRand Refinery (Pty) Ltd.</v>
      </c>
    </row>
    <row r="121" spans="1:28" s="277" customFormat="1" ht="27.95" customHeight="1">
      <c r="A121" s="216"/>
      <c r="B121" s="217" t="s">
        <v>1153</v>
      </c>
      <c r="C121" s="221" t="s">
        <v>13257</v>
      </c>
      <c r="D121" s="283"/>
      <c r="E121" s="217" t="str">
        <f ca="1">IF(ISERROR($V121),"",OFFSET('Smelter Look-up'!$D$4,$V121-4,0)&amp;"")</f>
        <v>CHINA</v>
      </c>
      <c r="F121" s="217" t="str">
        <f ca="1">IF(ISERROR($V121),"",OFFSET('Smelter Look-up'!$E$4,$V121-4,0))</f>
        <v>CID000522</v>
      </c>
      <c r="G121" s="217" t="str">
        <f ca="1">IF(C121=$X$4,"Enter smelter details",IF(ISERROR($V121),"",OFFSET('Smelter Look-up'!$F$4,$V121-4,0)))</f>
        <v>RMI</v>
      </c>
      <c r="H121" s="218">
        <f ca="1">IF(ISERROR($V121),"",OFFSET('Smelter Look-up'!$G$4,$V121-4,0))</f>
        <v>0</v>
      </c>
      <c r="I121" s="219" t="str">
        <f ca="1">IF(ISERROR($V121),"",OFFSET('Smelter Look-up'!$H$4,$V121-4,0))</f>
        <v>Lanzhou</v>
      </c>
      <c r="J121" s="219" t="str">
        <f ca="1">IF(ISERROR($V121),"",OFFSET('Smelter Look-up'!$I$4,$V121-4,0))</f>
        <v>Gansu Sheng</v>
      </c>
      <c r="K121" s="273"/>
      <c r="L121" s="273"/>
      <c r="M121" s="273"/>
      <c r="N121" s="273"/>
      <c r="O121" s="273"/>
      <c r="P121" s="220"/>
      <c r="Q121" s="274"/>
      <c r="R121" s="217" t="str">
        <f ca="1">IF(ISERROR($V121),"",OFFSET('Smelter Look-up'!$C$4,$V121-4,0)&amp;"")</f>
        <v>Refinery of Seemine Gold Co., Ltd.</v>
      </c>
      <c r="S121" s="225" t="str">
        <f t="shared" ca="1" si="15"/>
        <v>CN</v>
      </c>
      <c r="T121" s="225" t="str">
        <f ca="1">IF(B121="","",IF(ISERROR(MATCH($J121,SorP!$B$1:$B$6230,0)),"",INDIRECT("'SorP'!$A$"&amp;MATCH($J121,SorP!$B$1:$B$6230,0))))</f>
        <v>CN-GS</v>
      </c>
      <c r="U121" s="241"/>
      <c r="V121" s="275">
        <f>IF(C121="",NA(),MATCH($B121&amp;$C121,'Smelter Look-up'!$J:$J,0))</f>
        <v>199</v>
      </c>
      <c r="W121" s="276"/>
      <c r="X121" s="276">
        <f t="shared" ca="1" si="16"/>
        <v>0</v>
      </c>
      <c r="Y121" s="276"/>
      <c r="Z121" s="276"/>
      <c r="AB121" s="278" t="str">
        <f t="shared" si="17"/>
        <v>GoldRefinery of Seemine Gold Co., Ltd.</v>
      </c>
    </row>
    <row r="122" spans="1:28" s="277" customFormat="1" ht="27.95" customHeight="1">
      <c r="A122" s="216"/>
      <c r="B122" s="217" t="s">
        <v>1153</v>
      </c>
      <c r="C122" s="221" t="s">
        <v>14140</v>
      </c>
      <c r="D122" s="283"/>
      <c r="E122" s="217" t="str">
        <f ca="1">IF(ISERROR($V122),"",OFFSET('Smelter Look-up'!$D$4,$V122-4,0)&amp;"")</f>
        <v>NETHERLANDS</v>
      </c>
      <c r="F122" s="217" t="str">
        <f ca="1">IF(ISERROR($V122),"",OFFSET('Smelter Look-up'!$E$4,$V122-4,0))</f>
        <v>CID002582</v>
      </c>
      <c r="G122" s="217" t="str">
        <f ca="1">IF(C122=$X$4,"Enter smelter details",IF(ISERROR($V122),"",OFFSET('Smelter Look-up'!$F$4,$V122-4,0)))</f>
        <v>RMI</v>
      </c>
      <c r="H122" s="218">
        <f ca="1">IF(ISERROR($V122),"",OFFSET('Smelter Look-up'!$G$4,$V122-4,0))</f>
        <v>0</v>
      </c>
      <c r="I122" s="219" t="str">
        <f ca="1">IF(ISERROR($V122),"",OFFSET('Smelter Look-up'!$H$4,$V122-4,0))</f>
        <v>Moerdijk</v>
      </c>
      <c r="J122" s="219" t="str">
        <f ca="1">IF(ISERROR($V122),"",OFFSET('Smelter Look-up'!$I$4,$V122-4,0))</f>
        <v>Noord-Brabant</v>
      </c>
      <c r="K122" s="273"/>
      <c r="L122" s="273"/>
      <c r="M122" s="273"/>
      <c r="N122" s="273"/>
      <c r="O122" s="273"/>
      <c r="P122" s="220"/>
      <c r="Q122" s="274"/>
      <c r="R122" s="217" t="str">
        <f ca="1">IF(ISERROR($V122),"",OFFSET('Smelter Look-up'!$C$4,$V122-4,0)&amp;"")</f>
        <v>REMONDIS PMR B.V.</v>
      </c>
      <c r="S122" s="225" t="str">
        <f t="shared" ca="1" si="15"/>
        <v>NL</v>
      </c>
      <c r="T122" s="225" t="str">
        <f ca="1">IF(B122="","",IF(ISERROR(MATCH($J122,SorP!$B$1:$B$6230,0)),"",INDIRECT("'SorP'!$A$"&amp;MATCH($J122,SorP!$B$1:$B$6230,0))))</f>
        <v>NL-NB</v>
      </c>
      <c r="U122" s="241"/>
      <c r="V122" s="275">
        <f>IF(C122="",NA(),MATCH($B122&amp;$C122,'Smelter Look-up'!$J:$J,0))</f>
        <v>201</v>
      </c>
      <c r="W122" s="276"/>
      <c r="X122" s="276">
        <f t="shared" ca="1" si="16"/>
        <v>0</v>
      </c>
      <c r="Y122" s="276"/>
      <c r="Z122" s="276"/>
      <c r="AB122" s="278" t="str">
        <f t="shared" si="17"/>
        <v>GoldREMONDIS PMR B.V.</v>
      </c>
    </row>
    <row r="123" spans="1:28" s="277" customFormat="1" ht="27.95" customHeight="1">
      <c r="A123" s="216"/>
      <c r="B123" s="217" t="s">
        <v>1153</v>
      </c>
      <c r="C123" s="221" t="s">
        <v>936</v>
      </c>
      <c r="D123" s="283"/>
      <c r="E123" s="217" t="str">
        <f ca="1">IF(ISERROR($V123),"",OFFSET('Smelter Look-up'!$D$4,$V123-4,0)&amp;"")</f>
        <v>CANADA</v>
      </c>
      <c r="F123" s="217" t="str">
        <f ca="1">IF(ISERROR($V123),"",OFFSET('Smelter Look-up'!$E$4,$V123-4,0))</f>
        <v>CID001534</v>
      </c>
      <c r="G123" s="217" t="str">
        <f ca="1">IF(C123=$X$4,"Enter smelter details",IF(ISERROR($V123),"",OFFSET('Smelter Look-up'!$F$4,$V123-4,0)))</f>
        <v>RMI</v>
      </c>
      <c r="H123" s="218">
        <f ca="1">IF(ISERROR($V123),"",OFFSET('Smelter Look-up'!$G$4,$V123-4,0))</f>
        <v>0</v>
      </c>
      <c r="I123" s="219" t="str">
        <f ca="1">IF(ISERROR($V123),"",OFFSET('Smelter Look-up'!$H$4,$V123-4,0))</f>
        <v>Ottawa</v>
      </c>
      <c r="J123" s="219" t="str">
        <f ca="1">IF(ISERROR($V123),"",OFFSET('Smelter Look-up'!$I$4,$V123-4,0))</f>
        <v>Ontario</v>
      </c>
      <c r="K123" s="273"/>
      <c r="L123" s="273"/>
      <c r="M123" s="273"/>
      <c r="N123" s="273"/>
      <c r="O123" s="273"/>
      <c r="P123" s="220"/>
      <c r="Q123" s="274"/>
      <c r="R123" s="217" t="str">
        <f ca="1">IF(ISERROR($V123),"",OFFSET('Smelter Look-up'!$C$4,$V123-4,0)&amp;"")</f>
        <v>Royal Canadian Mint</v>
      </c>
      <c r="S123" s="225" t="str">
        <f t="shared" ca="1" si="15"/>
        <v>CA</v>
      </c>
      <c r="T123" s="225" t="str">
        <f ca="1">IF(B123="","",IF(ISERROR(MATCH($J123,SorP!$B$1:$B$6230,0)),"",INDIRECT("'SorP'!$A$"&amp;MATCH($J123,SorP!$B$1:$B$6230,0))))</f>
        <v>CA-ON</v>
      </c>
      <c r="U123" s="241"/>
      <c r="V123" s="275">
        <f>IF(C123="",NA(),MATCH($B123&amp;$C123,'Smelter Look-up'!$J:$J,0))</f>
        <v>202</v>
      </c>
      <c r="W123" s="276"/>
      <c r="X123" s="276">
        <f t="shared" ca="1" si="16"/>
        <v>0</v>
      </c>
      <c r="Y123" s="276"/>
      <c r="Z123" s="276"/>
      <c r="AB123" s="278" t="str">
        <f t="shared" si="17"/>
        <v>GoldRoyal Canadian Mint</v>
      </c>
    </row>
    <row r="124" spans="1:28" s="277" customFormat="1" ht="27.95" customHeight="1">
      <c r="A124" s="216"/>
      <c r="B124" s="217" t="s">
        <v>1153</v>
      </c>
      <c r="C124" s="221" t="s">
        <v>2370</v>
      </c>
      <c r="D124" s="283"/>
      <c r="E124" s="217" t="str">
        <f ca="1">IF(ISERROR($V124),"",OFFSET('Smelter Look-up'!$D$4,$V124-4,0)&amp;"")</f>
        <v>FRANCE</v>
      </c>
      <c r="F124" s="217" t="str">
        <f ca="1">IF(ISERROR($V124),"",OFFSET('Smelter Look-up'!$E$4,$V124-4,0))</f>
        <v>CID002761</v>
      </c>
      <c r="G124" s="217" t="str">
        <f ca="1">IF(C124=$X$4,"Enter smelter details",IF(ISERROR($V124),"",OFFSET('Smelter Look-up'!$F$4,$V124-4,0)))</f>
        <v>RMI</v>
      </c>
      <c r="H124" s="218">
        <f ca="1">IF(ISERROR($V124),"",OFFSET('Smelter Look-up'!$G$4,$V124-4,0))</f>
        <v>0</v>
      </c>
      <c r="I124" s="219" t="str">
        <f ca="1">IF(ISERROR($V124),"",OFFSET('Smelter Look-up'!$H$4,$V124-4,0))</f>
        <v>Paris</v>
      </c>
      <c r="J124" s="219" t="str">
        <f ca="1">IF(ISERROR($V124),"",OFFSET('Smelter Look-up'!$I$4,$V124-4,0))</f>
        <v>Île-de-France</v>
      </c>
      <c r="K124" s="273"/>
      <c r="L124" s="273"/>
      <c r="M124" s="273"/>
      <c r="N124" s="273"/>
      <c r="O124" s="273"/>
      <c r="P124" s="220"/>
      <c r="Q124" s="274"/>
      <c r="R124" s="217" t="str">
        <f ca="1">IF(ISERROR($V124),"",OFFSET('Smelter Look-up'!$C$4,$V124-4,0)&amp;"")</f>
        <v>SAAMP</v>
      </c>
      <c r="S124" s="225" t="str">
        <f t="shared" ca="1" si="15"/>
        <v>FR</v>
      </c>
      <c r="T124" s="225" t="str">
        <f ca="1">IF(B124="","",IF(ISERROR(MATCH($J124,SorP!$B$1:$B$6230,0)),"",INDIRECT("'SorP'!$A$"&amp;MATCH($J124,SorP!$B$1:$B$6230,0))))</f>
        <v>FR-IDF</v>
      </c>
      <c r="U124" s="241"/>
      <c r="V124" s="275">
        <f>IF(C124="",NA(),MATCH($B124&amp;$C124,'Smelter Look-up'!$J:$J,0))</f>
        <v>203</v>
      </c>
      <c r="W124" s="276"/>
      <c r="X124" s="276">
        <f t="shared" ca="1" si="16"/>
        <v>0</v>
      </c>
      <c r="Y124" s="276"/>
      <c r="Z124" s="276"/>
      <c r="AB124" s="278" t="str">
        <f t="shared" si="17"/>
        <v>GoldSAAMP</v>
      </c>
    </row>
    <row r="125" spans="1:28" s="277" customFormat="1" ht="27.95" customHeight="1">
      <c r="A125" s="216"/>
      <c r="B125" s="217" t="s">
        <v>1153</v>
      </c>
      <c r="C125" s="221" t="s">
        <v>1188</v>
      </c>
      <c r="D125" s="283"/>
      <c r="E125" s="217" t="str">
        <f ca="1">IF(ISERROR($V125),"",OFFSET('Smelter Look-up'!$D$4,$V125-4,0)&amp;"")</f>
        <v>UNITED STATES OF AMERICA</v>
      </c>
      <c r="F125" s="217" t="str">
        <f ca="1">IF(ISERROR($V125),"",OFFSET('Smelter Look-up'!$E$4,$V125-4,0))</f>
        <v>CID001546</v>
      </c>
      <c r="G125" s="217" t="str">
        <f ca="1">IF(C125=$X$4,"Enter smelter details",IF(ISERROR($V125),"",OFFSET('Smelter Look-up'!$F$4,$V125-4,0)))</f>
        <v>RMI</v>
      </c>
      <c r="H125" s="218">
        <f ca="1">IF(ISERROR($V125),"",OFFSET('Smelter Look-up'!$G$4,$V125-4,0))</f>
        <v>0</v>
      </c>
      <c r="I125" s="219" t="str">
        <f ca="1">IF(ISERROR($V125),"",OFFSET('Smelter Look-up'!$H$4,$V125-4,0))</f>
        <v>Williston</v>
      </c>
      <c r="J125" s="219" t="str">
        <f ca="1">IF(ISERROR($V125),"",OFFSET('Smelter Look-up'!$I$4,$V125-4,0))</f>
        <v>North Dakota</v>
      </c>
      <c r="K125" s="273"/>
      <c r="L125" s="273"/>
      <c r="M125" s="273"/>
      <c r="N125" s="273"/>
      <c r="O125" s="273"/>
      <c r="P125" s="220"/>
      <c r="Q125" s="274"/>
      <c r="R125" s="217" t="str">
        <f ca="1">IF(ISERROR($V125),"",OFFSET('Smelter Look-up'!$C$4,$V125-4,0)&amp;"")</f>
        <v>Sabin Metal Corp.</v>
      </c>
      <c r="S125" s="225" t="str">
        <f t="shared" ca="1" si="15"/>
        <v>US</v>
      </c>
      <c r="T125" s="225" t="str">
        <f ca="1">IF(B125="","",IF(ISERROR(MATCH($J125,SorP!$B$1:$B$6230,0)),"",INDIRECT("'SorP'!$A$"&amp;MATCH($J125,SorP!$B$1:$B$6230,0))))</f>
        <v>US-ND</v>
      </c>
      <c r="U125" s="241"/>
      <c r="V125" s="275">
        <f>IF(C125="",NA(),MATCH($B125&amp;$C125,'Smelter Look-up'!$J:$J,0))</f>
        <v>204</v>
      </c>
      <c r="W125" s="276"/>
      <c r="X125" s="276">
        <f t="shared" ca="1" si="16"/>
        <v>0</v>
      </c>
      <c r="Y125" s="276"/>
      <c r="Z125" s="276"/>
      <c r="AB125" s="278" t="str">
        <f t="shared" si="17"/>
        <v>GoldSabin Metal Corp.</v>
      </c>
    </row>
    <row r="126" spans="1:28" s="277" customFormat="1" ht="27.95" customHeight="1">
      <c r="A126" s="216"/>
      <c r="B126" s="217" t="s">
        <v>1153</v>
      </c>
      <c r="C126" s="221" t="s">
        <v>2665</v>
      </c>
      <c r="D126" s="283"/>
      <c r="E126" s="217" t="str">
        <f ca="1">IF(ISERROR($V126),"",OFFSET('Smelter Look-up'!$D$4,$V126-4,0)&amp;"")</f>
        <v>ITALY</v>
      </c>
      <c r="F126" s="217" t="str">
        <f ca="1">IF(ISERROR($V126),"",OFFSET('Smelter Look-up'!$E$4,$V126-4,0))</f>
        <v>CID002973</v>
      </c>
      <c r="G126" s="217" t="str">
        <f ca="1">IF(C126=$X$4,"Enter smelter details",IF(ISERROR($V126),"",OFFSET('Smelter Look-up'!$F$4,$V126-4,0)))</f>
        <v>RMI</v>
      </c>
      <c r="H126" s="218">
        <f ca="1">IF(ISERROR($V126),"",OFFSET('Smelter Look-up'!$G$4,$V126-4,0))</f>
        <v>0</v>
      </c>
      <c r="I126" s="219" t="str">
        <f ca="1">IF(ISERROR($V126),"",OFFSET('Smelter Look-up'!$H$4,$V126-4,0))</f>
        <v>Arezzo</v>
      </c>
      <c r="J126" s="219" t="str">
        <f ca="1">IF(ISERROR($V126),"",OFFSET('Smelter Look-up'!$I$4,$V126-4,0))</f>
        <v>Toscana</v>
      </c>
      <c r="K126" s="273"/>
      <c r="L126" s="273"/>
      <c r="M126" s="273"/>
      <c r="N126" s="273"/>
      <c r="O126" s="273"/>
      <c r="P126" s="220"/>
      <c r="Q126" s="274"/>
      <c r="R126" s="217" t="str">
        <f ca="1">IF(ISERROR($V126),"",OFFSET('Smelter Look-up'!$C$4,$V126-4,0)&amp;"")</f>
        <v>Safimet S.p.A</v>
      </c>
      <c r="S126" s="225" t="str">
        <f t="shared" ca="1" si="15"/>
        <v>IT</v>
      </c>
      <c r="T126" s="225" t="str">
        <f ca="1">IF(B126="","",IF(ISERROR(MATCH($J126,SorP!$B$1:$B$6230,0)),"",INDIRECT("'SorP'!$A$"&amp;MATCH($J126,SorP!$B$1:$B$6230,0))))</f>
        <v>IT-52</v>
      </c>
      <c r="U126" s="241"/>
      <c r="V126" s="275">
        <f>IF(C126="",NA(),MATCH($B126&amp;$C126,'Smelter Look-up'!$J:$J,0))</f>
        <v>205</v>
      </c>
      <c r="W126" s="276"/>
      <c r="X126" s="276">
        <f t="shared" ca="1" si="16"/>
        <v>0</v>
      </c>
      <c r="Y126" s="276"/>
      <c r="Z126" s="276"/>
      <c r="AB126" s="278" t="str">
        <f t="shared" si="17"/>
        <v>GoldSafimet S.p.A</v>
      </c>
    </row>
    <row r="127" spans="1:28" s="277" customFormat="1" ht="27.95" customHeight="1">
      <c r="A127" s="216"/>
      <c r="B127" s="217" t="s">
        <v>1153</v>
      </c>
      <c r="C127" s="221" t="s">
        <v>2443</v>
      </c>
      <c r="D127" s="283"/>
      <c r="E127" s="217" t="str">
        <f ca="1">IF(ISERROR($V127),"",OFFSET('Smelter Look-up'!$D$4,$V127-4,0)&amp;"")</f>
        <v>CZECHIA</v>
      </c>
      <c r="F127" s="217" t="str">
        <f ca="1">IF(ISERROR($V127),"",OFFSET('Smelter Look-up'!$E$4,$V127-4,0))</f>
        <v>CID002290</v>
      </c>
      <c r="G127" s="217" t="str">
        <f ca="1">IF(C127=$X$4,"Enter smelter details",IF(ISERROR($V127),"",OFFSET('Smelter Look-up'!$F$4,$V127-4,0)))</f>
        <v>RMI</v>
      </c>
      <c r="H127" s="218">
        <f ca="1">IF(ISERROR($V127),"",OFFSET('Smelter Look-up'!$G$4,$V127-4,0))</f>
        <v>0</v>
      </c>
      <c r="I127" s="219" t="str">
        <f ca="1">IF(ISERROR($V127),"",OFFSET('Smelter Look-up'!$H$4,$V127-4,0))</f>
        <v>Vestec</v>
      </c>
      <c r="J127" s="219" t="str">
        <f ca="1">IF(ISERROR($V127),"",OFFSET('Smelter Look-up'!$I$4,$V127-4,0))</f>
        <v>Praha-západ</v>
      </c>
      <c r="K127" s="273"/>
      <c r="L127" s="273"/>
      <c r="M127" s="273"/>
      <c r="N127" s="273"/>
      <c r="O127" s="273"/>
      <c r="P127" s="220"/>
      <c r="Q127" s="274"/>
      <c r="R127" s="217" t="str">
        <f ca="1">IF(ISERROR($V127),"",OFFSET('Smelter Look-up'!$C$4,$V127-4,0)&amp;"")</f>
        <v>SAFINA A.S.</v>
      </c>
      <c r="S127" s="225" t="str">
        <f t="shared" ca="1" si="15"/>
        <v>CZ</v>
      </c>
      <c r="T127" s="225" t="str">
        <f ca="1">IF(B127="","",IF(ISERROR(MATCH($J127,SorP!$B$1:$B$6230,0)),"",INDIRECT("'SorP'!$A$"&amp;MATCH($J127,SorP!$B$1:$B$6230,0))))</f>
        <v>CZ-20A</v>
      </c>
      <c r="U127" s="241"/>
      <c r="V127" s="275">
        <f>IF(C127="",NA(),MATCH($B127&amp;$C127,'Smelter Look-up'!$J:$J,0))</f>
        <v>206</v>
      </c>
      <c r="W127" s="276"/>
      <c r="X127" s="276">
        <f t="shared" ca="1" si="16"/>
        <v>0</v>
      </c>
      <c r="Y127" s="276"/>
      <c r="Z127" s="276"/>
      <c r="AB127" s="278" t="str">
        <f t="shared" si="17"/>
        <v>GoldSAFINA A.S.</v>
      </c>
    </row>
    <row r="128" spans="1:28" s="277" customFormat="1" ht="27.95" customHeight="1">
      <c r="A128" s="216"/>
      <c r="B128" s="217" t="s">
        <v>1153</v>
      </c>
      <c r="C128" s="221" t="s">
        <v>2446</v>
      </c>
      <c r="D128" s="283"/>
      <c r="E128" s="217" t="str">
        <f ca="1">IF(ISERROR($V128),"",OFFSET('Smelter Look-up'!$D$4,$V128-4,0)&amp;"")</f>
        <v>INDIA</v>
      </c>
      <c r="F128" s="217" t="str">
        <f ca="1">IF(ISERROR($V128),"",OFFSET('Smelter Look-up'!$E$4,$V128-4,0))</f>
        <v>CID002853</v>
      </c>
      <c r="G128" s="217" t="str">
        <f ca="1">IF(C128=$X$4,"Enter smelter details",IF(ISERROR($V128),"",OFFSET('Smelter Look-up'!$F$4,$V128-4,0)))</f>
        <v>RMI</v>
      </c>
      <c r="H128" s="218">
        <f ca="1">IF(ISERROR($V128),"",OFFSET('Smelter Look-up'!$G$4,$V128-4,0))</f>
        <v>0</v>
      </c>
      <c r="I128" s="219" t="str">
        <f ca="1">IF(ISERROR($V128),"",OFFSET('Smelter Look-up'!$H$4,$V128-4,0))</f>
        <v>Parwanoo</v>
      </c>
      <c r="J128" s="219" t="str">
        <f ca="1">IF(ISERROR($V128),"",OFFSET('Smelter Look-up'!$I$4,$V128-4,0))</f>
        <v>Himachal Pradesh</v>
      </c>
      <c r="K128" s="273"/>
      <c r="L128" s="273"/>
      <c r="M128" s="273"/>
      <c r="N128" s="273"/>
      <c r="O128" s="273"/>
      <c r="P128" s="220"/>
      <c r="Q128" s="274"/>
      <c r="R128" s="217" t="str">
        <f ca="1">IF(ISERROR($V128),"",OFFSET('Smelter Look-up'!$C$4,$V128-4,0)&amp;"")</f>
        <v>Sai Refinery</v>
      </c>
      <c r="S128" s="225" t="str">
        <f t="shared" ca="1" si="15"/>
        <v>IN</v>
      </c>
      <c r="T128" s="225" t="str">
        <f ca="1">IF(B128="","",IF(ISERROR(MATCH($J128,SorP!$B$1:$B$6230,0)),"",INDIRECT("'SorP'!$A$"&amp;MATCH($J128,SorP!$B$1:$B$6230,0))))</f>
        <v>IN-HP</v>
      </c>
      <c r="U128" s="241"/>
      <c r="V128" s="275">
        <f>IF(C128="",NA(),MATCH($B128&amp;$C128,'Smelter Look-up'!$J:$J,0))</f>
        <v>208</v>
      </c>
      <c r="W128" s="276"/>
      <c r="X128" s="276">
        <f t="shared" ca="1" si="16"/>
        <v>0</v>
      </c>
      <c r="Y128" s="276"/>
      <c r="Z128" s="276"/>
      <c r="AB128" s="278" t="str">
        <f t="shared" si="17"/>
        <v>GoldSai Refinery</v>
      </c>
    </row>
    <row r="129" spans="1:28" s="277" customFormat="1" ht="27.95" customHeight="1">
      <c r="A129" s="216"/>
      <c r="B129" s="217" t="s">
        <v>1153</v>
      </c>
      <c r="C129" s="221" t="s">
        <v>1431</v>
      </c>
      <c r="D129" s="283"/>
      <c r="E129" s="217" t="str">
        <f ca="1">IF(ISERROR($V129),"",OFFSET('Smelter Look-up'!$D$4,$V129-4,0)&amp;"")</f>
        <v>KOREA, REPUBLIC OF</v>
      </c>
      <c r="F129" s="217" t="str">
        <f ca="1">IF(ISERROR($V129),"",OFFSET('Smelter Look-up'!$E$4,$V129-4,0))</f>
        <v>CID001555</v>
      </c>
      <c r="G129" s="217" t="str">
        <f ca="1">IF(C129=$X$4,"Enter smelter details",IF(ISERROR($V129),"",OFFSET('Smelter Look-up'!$F$4,$V129-4,0)))</f>
        <v>RMI</v>
      </c>
      <c r="H129" s="218">
        <f ca="1">IF(ISERROR($V129),"",OFFSET('Smelter Look-up'!$G$4,$V129-4,0))</f>
        <v>0</v>
      </c>
      <c r="I129" s="219" t="str">
        <f ca="1">IF(ISERROR($V129),"",OFFSET('Smelter Look-up'!$H$4,$V129-4,0))</f>
        <v>Namdong</v>
      </c>
      <c r="J129" s="219" t="str">
        <f ca="1">IF(ISERROR($V129),"",OFFSET('Smelter Look-up'!$I$4,$V129-4,0))</f>
        <v>Incheon-gwangyeoksi</v>
      </c>
      <c r="K129" s="273"/>
      <c r="L129" s="273"/>
      <c r="M129" s="273"/>
      <c r="N129" s="273"/>
      <c r="O129" s="273"/>
      <c r="P129" s="220"/>
      <c r="Q129" s="274"/>
      <c r="R129" s="217" t="str">
        <f ca="1">IF(ISERROR($V129),"",OFFSET('Smelter Look-up'!$C$4,$V129-4,0)&amp;"")</f>
        <v>Samduck Precious Metals</v>
      </c>
      <c r="S129" s="225" t="str">
        <f t="shared" ca="1" si="15"/>
        <v>KR</v>
      </c>
      <c r="T129" s="225" t="str">
        <f ca="1">IF(B129="","",IF(ISERROR(MATCH($J129,SorP!$B$1:$B$6230,0)),"",INDIRECT("'SorP'!$A$"&amp;MATCH($J129,SorP!$B$1:$B$6230,0))))</f>
        <v>KR-28</v>
      </c>
      <c r="U129" s="241"/>
      <c r="V129" s="275">
        <f>IF(C129="",NA(),MATCH($B129&amp;$C129,'Smelter Look-up'!$J:$J,0))</f>
        <v>210</v>
      </c>
      <c r="W129" s="276"/>
      <c r="X129" s="276">
        <f t="shared" ca="1" si="16"/>
        <v>0</v>
      </c>
      <c r="Y129" s="276"/>
      <c r="Z129" s="276"/>
      <c r="AB129" s="278" t="str">
        <f t="shared" si="17"/>
        <v>GoldSamduck Precious Metals</v>
      </c>
    </row>
    <row r="130" spans="1:28" s="277" customFormat="1" ht="27.95" customHeight="1">
      <c r="A130" s="216"/>
      <c r="B130" s="217" t="s">
        <v>1153</v>
      </c>
      <c r="C130" s="221" t="s">
        <v>15509</v>
      </c>
      <c r="D130" s="283"/>
      <c r="E130" s="217" t="str">
        <f ca="1">IF(ISERROR($V130),"",OFFSET('Smelter Look-up'!$D$4,$V130-4,0)&amp;"")</f>
        <v>KOREA, REPUBLIC OF</v>
      </c>
      <c r="F130" s="217" t="str">
        <f ca="1">IF(ISERROR($V130),"",OFFSET('Smelter Look-up'!$E$4,$V130-4,0))</f>
        <v>CID001562</v>
      </c>
      <c r="G130" s="217" t="str">
        <f ca="1">IF(C130=$X$4,"Enter smelter details",IF(ISERROR($V130),"",OFFSET('Smelter Look-up'!$F$4,$V130-4,0)))</f>
        <v>RMI</v>
      </c>
      <c r="H130" s="218">
        <f ca="1">IF(ISERROR($V130),"",OFFSET('Smelter Look-up'!$G$4,$V130-4,0))</f>
        <v>0</v>
      </c>
      <c r="I130" s="219" t="str">
        <f ca="1">IF(ISERROR($V130),"",OFFSET('Smelter Look-up'!$H$4,$V130-4,0))</f>
        <v>Changwon</v>
      </c>
      <c r="J130" s="219" t="str">
        <f ca="1">IF(ISERROR($V130),"",OFFSET('Smelter Look-up'!$I$4,$V130-4,0))</f>
        <v>Gyeongsangnam-do</v>
      </c>
      <c r="K130" s="273"/>
      <c r="L130" s="273"/>
      <c r="M130" s="273"/>
      <c r="N130" s="273"/>
      <c r="O130" s="273"/>
      <c r="P130" s="220"/>
      <c r="Q130" s="274"/>
      <c r="R130" s="217" t="str">
        <f ca="1">IF(ISERROR($V130),"",OFFSET('Smelter Look-up'!$C$4,$V130-4,0)&amp;"")</f>
        <v>Samwon Metals Corp.</v>
      </c>
      <c r="S130" s="225" t="str">
        <f t="shared" ca="1" si="15"/>
        <v>KR</v>
      </c>
      <c r="T130" s="225" t="str">
        <f ca="1">IF(B130="","",IF(ISERROR(MATCH($J130,SorP!$B$1:$B$6230,0)),"",INDIRECT("'SorP'!$A$"&amp;MATCH($J130,SorP!$B$1:$B$6230,0))))</f>
        <v>KR-48</v>
      </c>
      <c r="U130" s="241"/>
      <c r="V130" s="275">
        <f>IF(C130="",NA(),MATCH($B130&amp;$C130,'Smelter Look-up'!$J:$J,0))</f>
        <v>211</v>
      </c>
      <c r="W130" s="276"/>
      <c r="X130" s="276">
        <f t="shared" ca="1" si="16"/>
        <v>0</v>
      </c>
      <c r="Y130" s="276"/>
      <c r="Z130" s="276"/>
      <c r="AB130" s="278" t="str">
        <f t="shared" si="17"/>
        <v>GoldSAMWON Metals Corp.</v>
      </c>
    </row>
    <row r="131" spans="1:28" s="277" customFormat="1" ht="27.95" customHeight="1">
      <c r="A131" s="216"/>
      <c r="B131" s="217" t="s">
        <v>1153</v>
      </c>
      <c r="C131" s="221" t="s">
        <v>2311</v>
      </c>
      <c r="D131" s="283"/>
      <c r="E131" s="217" t="str">
        <f ca="1">IF(ISERROR($V131),"",OFFSET('Smelter Look-up'!$D$4,$V131-4,0)&amp;"")</f>
        <v>GERMANY</v>
      </c>
      <c r="F131" s="217" t="str">
        <f ca="1">IF(ISERROR($V131),"",OFFSET('Smelter Look-up'!$E$4,$V131-4,0))</f>
        <v>CID002777</v>
      </c>
      <c r="G131" s="217" t="str">
        <f ca="1">IF(C131=$X$4,"Enter smelter details",IF(ISERROR($V131),"",OFFSET('Smelter Look-up'!$F$4,$V131-4,0)))</f>
        <v>RMI</v>
      </c>
      <c r="H131" s="218">
        <f ca="1">IF(ISERROR($V131),"",OFFSET('Smelter Look-up'!$G$4,$V131-4,0))</f>
        <v>0</v>
      </c>
      <c r="I131" s="219" t="str">
        <f ca="1">IF(ISERROR($V131),"",OFFSET('Smelter Look-up'!$H$4,$V131-4,0))</f>
        <v>Halsbrücke</v>
      </c>
      <c r="J131" s="219" t="str">
        <f ca="1">IF(ISERROR($V131),"",OFFSET('Smelter Look-up'!$I$4,$V131-4,0))</f>
        <v>Sachsen</v>
      </c>
      <c r="K131" s="273"/>
      <c r="L131" s="273"/>
      <c r="M131" s="273"/>
      <c r="N131" s="273"/>
      <c r="O131" s="273"/>
      <c r="P131" s="220"/>
      <c r="Q131" s="274"/>
      <c r="R131" s="217" t="str">
        <f ca="1">IF(ISERROR($V131),"",OFFSET('Smelter Look-up'!$C$4,$V131-4,0)&amp;"")</f>
        <v>SAXONIA Edelmetalle GmbH</v>
      </c>
      <c r="S131" s="225" t="str">
        <f t="shared" ca="1" si="15"/>
        <v>DE</v>
      </c>
      <c r="T131" s="225" t="str">
        <f ca="1">IF(B131="","",IF(ISERROR(MATCH($J131,SorP!$B$1:$B$6230,0)),"",INDIRECT("'SorP'!$A$"&amp;MATCH($J131,SorP!$B$1:$B$6230,0))))</f>
        <v>DE-SN</v>
      </c>
      <c r="U131" s="241"/>
      <c r="V131" s="275">
        <f>IF(C131="",NA(),MATCH($B131&amp;$C131,'Smelter Look-up'!$J:$J,0))</f>
        <v>212</v>
      </c>
      <c r="W131" s="276"/>
      <c r="X131" s="276">
        <f t="shared" ca="1" si="16"/>
        <v>0</v>
      </c>
      <c r="Y131" s="276"/>
      <c r="Z131" s="276"/>
      <c r="AB131" s="278" t="str">
        <f t="shared" si="17"/>
        <v>GoldSAXONIA Edelmetalle GmbH</v>
      </c>
    </row>
    <row r="132" spans="1:28" s="277" customFormat="1" ht="27.95" customHeight="1">
      <c r="A132" s="216"/>
      <c r="B132" s="217" t="s">
        <v>1153</v>
      </c>
      <c r="C132" s="221" t="s">
        <v>2450</v>
      </c>
      <c r="D132" s="283"/>
      <c r="E132" s="217" t="str">
        <f ca="1">IF(ISERROR($V132),"",OFFSET('Smelter Look-up'!$D$4,$V132-4,0)&amp;"")</f>
        <v>SPAIN</v>
      </c>
      <c r="F132" s="217" t="str">
        <f ca="1">IF(ISERROR($V132),"",OFFSET('Smelter Look-up'!$E$4,$V132-4,0))</f>
        <v>CID001585</v>
      </c>
      <c r="G132" s="217" t="str">
        <f ca="1">IF(C132=$X$4,"Enter smelter details",IF(ISERROR($V132),"",OFFSET('Smelter Look-up'!$F$4,$V132-4,0)))</f>
        <v>RMI</v>
      </c>
      <c r="H132" s="218">
        <f ca="1">IF(ISERROR($V132),"",OFFSET('Smelter Look-up'!$G$4,$V132-4,0))</f>
        <v>0</v>
      </c>
      <c r="I132" s="219" t="str">
        <f ca="1">IF(ISERROR($V132),"",OFFSET('Smelter Look-up'!$H$4,$V132-4,0))</f>
        <v>Madrid</v>
      </c>
      <c r="J132" s="219" t="str">
        <f ca="1">IF(ISERROR($V132),"",OFFSET('Smelter Look-up'!$I$4,$V132-4,0))</f>
        <v>Madrid, Comunidad de</v>
      </c>
      <c r="K132" s="273"/>
      <c r="L132" s="273"/>
      <c r="M132" s="273"/>
      <c r="N132" s="273"/>
      <c r="O132" s="273"/>
      <c r="P132" s="220"/>
      <c r="Q132" s="274"/>
      <c r="R132" s="217" t="str">
        <f ca="1">IF(ISERROR($V132),"",OFFSET('Smelter Look-up'!$C$4,$V132-4,0)&amp;"")</f>
        <v>SEMPSA Joyeria Plateria S.A.</v>
      </c>
      <c r="S132" s="225" t="str">
        <f t="shared" ca="1" si="15"/>
        <v>ES</v>
      </c>
      <c r="T132" s="225" t="str">
        <f ca="1">IF(B132="","",IF(ISERROR(MATCH($J132,SorP!$B$1:$B$6230,0)),"",INDIRECT("'SorP'!$A$"&amp;MATCH($J132,SorP!$B$1:$B$6230,0))))</f>
        <v>ES-MD</v>
      </c>
      <c r="U132" s="241"/>
      <c r="V132" s="275">
        <f>IF(C132="",NA(),MATCH($B132&amp;$C132,'Smelter Look-up'!$J:$J,0))</f>
        <v>215</v>
      </c>
      <c r="W132" s="276"/>
      <c r="X132" s="276">
        <f t="shared" ca="1" si="16"/>
        <v>0</v>
      </c>
      <c r="Y132" s="276"/>
      <c r="Z132" s="276"/>
      <c r="AB132" s="278" t="str">
        <f t="shared" si="17"/>
        <v>GoldSEMPSA Joyería Platería S.A.</v>
      </c>
    </row>
    <row r="133" spans="1:28" s="277" customFormat="1" ht="27.95" customHeight="1">
      <c r="A133" s="216"/>
      <c r="B133" s="217" t="s">
        <v>1153</v>
      </c>
      <c r="C133" s="221" t="s">
        <v>14141</v>
      </c>
      <c r="D133" s="283"/>
      <c r="E133" s="217" t="str">
        <f ca="1">IF(ISERROR($V133),"",OFFSET('Smelter Look-up'!$D$4,$V133-4,0)&amp;"")</f>
        <v>CHINA</v>
      </c>
      <c r="F133" s="217" t="str">
        <f ca="1">IF(ISERROR($V133),"",OFFSET('Smelter Look-up'!$E$4,$V133-4,0))</f>
        <v>CID002525</v>
      </c>
      <c r="G133" s="217" t="str">
        <f ca="1">IF(C133=$X$4,"Enter smelter details",IF(ISERROR($V133),"",OFFSET('Smelter Look-up'!$F$4,$V133-4,0)))</f>
        <v>RMI</v>
      </c>
      <c r="H133" s="218">
        <f ca="1">IF(ISERROR($V133),"",OFFSET('Smelter Look-up'!$G$4,$V133-4,0))</f>
        <v>0</v>
      </c>
      <c r="I133" s="219" t="str">
        <f ca="1">IF(ISERROR($V133),"",OFFSET('Smelter Look-up'!$H$4,$V133-4,0))</f>
        <v>Laizhou</v>
      </c>
      <c r="J133" s="219" t="str">
        <f ca="1">IF(ISERROR($V133),"",OFFSET('Smelter Look-up'!$I$4,$V133-4,0))</f>
        <v>Shandong Sheng</v>
      </c>
      <c r="K133" s="273"/>
      <c r="L133" s="273"/>
      <c r="M133" s="273"/>
      <c r="N133" s="273"/>
      <c r="O133" s="273"/>
      <c r="P133" s="220"/>
      <c r="Q133" s="274"/>
      <c r="R133" s="217" t="str">
        <f ca="1">IF(ISERROR($V133),"",OFFSET('Smelter Look-up'!$C$4,$V133-4,0)&amp;"")</f>
        <v>Shandong Humon Smelting Co., Ltd.</v>
      </c>
      <c r="S133" s="225" t="str">
        <f t="shared" ref="S133" ca="1" si="18">IF(B133="","",IF(ISERROR(MATCH($E133,CL,0)),"Unknown",INDIRECT("'C'!$A$"&amp;MATCH($E133,CL,0)+1)))</f>
        <v>CN</v>
      </c>
      <c r="T133" s="225" t="str">
        <f ca="1">IF(B133="","",IF(ISERROR(MATCH($J133,SorP!$B$1:$B$6230,0)),"",INDIRECT("'SorP'!$A$"&amp;MATCH($J133,SorP!$B$1:$B$6230,0))))</f>
        <v>CN-SD</v>
      </c>
      <c r="U133" s="241"/>
      <c r="V133" s="275">
        <f>IF(C133="",NA(),MATCH($B133&amp;$C133,'Smelter Look-up'!$J:$J,0))</f>
        <v>219</v>
      </c>
      <c r="W133" s="276"/>
      <c r="X133" s="276">
        <f t="shared" ref="X133" ca="1" si="19">IF(AND(C133="Smelter not listed",OR(LEN(D133)=0,LEN(E133)=0)),1,0)</f>
        <v>0</v>
      </c>
      <c r="Y133" s="276"/>
      <c r="Z133" s="276"/>
      <c r="AB133" s="278" t="str">
        <f t="shared" ref="AB133" si="20">B133&amp;C133</f>
        <v>GoldShandong Humon Smelting Co., Ltd.</v>
      </c>
    </row>
    <row r="134" spans="1:28" s="277" customFormat="1" ht="27.95" customHeight="1">
      <c r="A134" s="216"/>
      <c r="B134" s="217" t="s">
        <v>1153</v>
      </c>
      <c r="C134" s="221" t="s">
        <v>1685</v>
      </c>
      <c r="D134" s="283"/>
      <c r="E134" s="217" t="str">
        <f ca="1">IF(ISERROR($V134),"",OFFSET('Smelter Look-up'!$D$4,$V134-4,0)&amp;"")</f>
        <v>CHINA</v>
      </c>
      <c r="F134" s="217" t="str">
        <f ca="1">IF(ISERROR($V134),"",OFFSET('Smelter Look-up'!$E$4,$V134-4,0))</f>
        <v>CID001619</v>
      </c>
      <c r="G134" s="217" t="str">
        <f ca="1">IF(C134=$X$4,"Enter smelter details",IF(ISERROR($V134),"",OFFSET('Smelter Look-up'!$F$4,$V134-4,0)))</f>
        <v>RMI</v>
      </c>
      <c r="H134" s="218">
        <f ca="1">IF(ISERROR($V134),"",OFFSET('Smelter Look-up'!$G$4,$V134-4,0))</f>
        <v>0</v>
      </c>
      <c r="I134" s="219" t="str">
        <f ca="1">IF(ISERROR($V134),"",OFFSET('Smelter Look-up'!$H$4,$V134-4,0))</f>
        <v>Laizhou</v>
      </c>
      <c r="J134" s="219" t="str">
        <f ca="1">IF(ISERROR($V134),"",OFFSET('Smelter Look-up'!$I$4,$V134-4,0))</f>
        <v>Shandong Sheng</v>
      </c>
      <c r="K134" s="273"/>
      <c r="L134" s="273"/>
      <c r="M134" s="273"/>
      <c r="N134" s="273"/>
      <c r="O134" s="273"/>
      <c r="P134" s="220"/>
      <c r="Q134" s="274"/>
      <c r="R134" s="217" t="str">
        <f ca="1">IF(ISERROR($V134),"",OFFSET('Smelter Look-up'!$C$4,$V134-4,0)&amp;"")</f>
        <v>Shandong Tiancheng Biological Gold Industrial Co., Ltd.</v>
      </c>
      <c r="S134" s="225" t="str">
        <f t="shared" ref="S134:S165" ca="1" si="21">IF(B134="","",IF(ISERROR(MATCH($E134,CL,0)),"Unknown",INDIRECT("'C'!$A$"&amp;MATCH($E134,CL,0)+1)))</f>
        <v>CN</v>
      </c>
      <c r="T134" s="225" t="str">
        <f ca="1">IF(B134="","",IF(ISERROR(MATCH($J134,SorP!$B$1:$B$6230,0)),"",INDIRECT("'SorP'!$A$"&amp;MATCH($J134,SorP!$B$1:$B$6230,0))))</f>
        <v>CN-SD</v>
      </c>
      <c r="U134" s="241"/>
      <c r="V134" s="275">
        <f>IF(C134="",NA(),MATCH($B134&amp;$C134,'Smelter Look-up'!$J:$J,0))</f>
        <v>222</v>
      </c>
      <c r="W134" s="276"/>
      <c r="X134" s="276">
        <f t="shared" ref="X134:X165" ca="1" si="22">IF(AND(C134="Smelter not listed",OR(LEN(D134)=0,LEN(E134)=0)),1,0)</f>
        <v>0</v>
      </c>
      <c r="Y134" s="276"/>
      <c r="Z134" s="276"/>
      <c r="AB134" s="278" t="str">
        <f t="shared" ref="AB134:AB165" si="23">B134&amp;C134</f>
        <v>GoldShandong Tiancheng Biological Gold Industrial Co., Ltd.</v>
      </c>
    </row>
    <row r="135" spans="1:28" s="277" customFormat="1" ht="27.95" customHeight="1">
      <c r="A135" s="216"/>
      <c r="B135" s="217" t="s">
        <v>1153</v>
      </c>
      <c r="C135" s="221" t="s">
        <v>2265</v>
      </c>
      <c r="D135" s="283"/>
      <c r="E135" s="217" t="str">
        <f ca="1">IF(ISERROR($V135),"",OFFSET('Smelter Look-up'!$D$4,$V135-4,0)&amp;"")</f>
        <v>CHINA</v>
      </c>
      <c r="F135" s="217" t="str">
        <f ca="1">IF(ISERROR($V135),"",OFFSET('Smelter Look-up'!$E$4,$V135-4,0))</f>
        <v>CID001622</v>
      </c>
      <c r="G135" s="217" t="str">
        <f ca="1">IF(C135=$X$4,"Enter smelter details",IF(ISERROR($V135),"",OFFSET('Smelter Look-up'!$F$4,$V135-4,0)))</f>
        <v>RMI</v>
      </c>
      <c r="H135" s="218">
        <f ca="1">IF(ISERROR($V135),"",OFFSET('Smelter Look-up'!$G$4,$V135-4,0))</f>
        <v>0</v>
      </c>
      <c r="I135" s="219" t="str">
        <f ca="1">IF(ISERROR($V135),"",OFFSET('Smelter Look-up'!$H$4,$V135-4,0))</f>
        <v>Zhaoyuan</v>
      </c>
      <c r="J135" s="219" t="str">
        <f ca="1">IF(ISERROR($V135),"",OFFSET('Smelter Look-up'!$I$4,$V135-4,0))</f>
        <v>Shandong Sheng</v>
      </c>
      <c r="K135" s="273"/>
      <c r="L135" s="273"/>
      <c r="M135" s="273"/>
      <c r="N135" s="273"/>
      <c r="O135" s="273"/>
      <c r="P135" s="220"/>
      <c r="Q135" s="274"/>
      <c r="R135" s="217" t="str">
        <f ca="1">IF(ISERROR($V135),"",OFFSET('Smelter Look-up'!$C$4,$V135-4,0)&amp;"")</f>
        <v>Shandong Zhaojin Gold &amp; Silver Refinery Co., Ltd.</v>
      </c>
      <c r="S135" s="225" t="str">
        <f t="shared" ca="1" si="21"/>
        <v>CN</v>
      </c>
      <c r="T135" s="225" t="str">
        <f ca="1">IF(B135="","",IF(ISERROR(MATCH($J135,SorP!$B$1:$B$6230,0)),"",INDIRECT("'SorP'!$A$"&amp;MATCH($J135,SorP!$B$1:$B$6230,0))))</f>
        <v>CN-SD</v>
      </c>
      <c r="U135" s="241"/>
      <c r="V135" s="275">
        <f>IF(C135="",NA(),MATCH($B135&amp;$C135,'Smelter Look-up'!$J:$J,0))</f>
        <v>223</v>
      </c>
      <c r="W135" s="276"/>
      <c r="X135" s="276">
        <f t="shared" ca="1" si="22"/>
        <v>0</v>
      </c>
      <c r="Y135" s="276"/>
      <c r="Z135" s="276"/>
      <c r="AB135" s="278" t="str">
        <f t="shared" si="23"/>
        <v>GoldShandong Zhaojin Gold &amp; Silver Refinery Co., Ltd.</v>
      </c>
    </row>
    <row r="136" spans="1:28" s="277" customFormat="1" ht="27.95" customHeight="1">
      <c r="A136" s="216"/>
      <c r="B136" s="217" t="s">
        <v>1153</v>
      </c>
      <c r="C136" s="221" t="s">
        <v>1898</v>
      </c>
      <c r="D136" s="221" t="s">
        <v>15510</v>
      </c>
      <c r="E136" s="217" t="s">
        <v>1123</v>
      </c>
      <c r="F136" s="217" t="s">
        <v>15517</v>
      </c>
      <c r="G136" s="217"/>
      <c r="H136" s="218">
        <f ca="1">IF(ISERROR($V136),"",OFFSET('Smelter Look-up'!$G$4,$V136-4,0))</f>
        <v>0</v>
      </c>
      <c r="I136" s="219">
        <f ca="1">IF(ISERROR($V136),"",OFFSET('Smelter Look-up'!$H$4,$V136-4,0))</f>
        <v>0</v>
      </c>
      <c r="J136" s="219">
        <f ca="1">IF(ISERROR($V136),"",OFFSET('Smelter Look-up'!$I$4,$V136-4,0))</f>
        <v>0</v>
      </c>
      <c r="K136" s="273"/>
      <c r="L136" s="273"/>
      <c r="M136" s="273"/>
      <c r="N136" s="273"/>
      <c r="O136" s="273"/>
      <c r="P136" s="220"/>
      <c r="Q136" s="274"/>
      <c r="R136" s="217" t="str">
        <f ca="1">IF(ISERROR($V136),"",OFFSET('Smelter Look-up'!$C$4,$V136-4,0)&amp;"")</f>
        <v/>
      </c>
      <c r="S136" s="225" t="str">
        <f t="shared" ca="1" si="21"/>
        <v>CN</v>
      </c>
      <c r="T136" s="225" t="str">
        <f ca="1">IF(B136="","",IF(ISERROR(MATCH($J136,SorP!$B$1:$B$6230,0)),"",INDIRECT("'SorP'!$A$"&amp;MATCH($J136,SorP!$B$1:$B$6230,0))))</f>
        <v/>
      </c>
      <c r="U136" s="241"/>
      <c r="V136" s="275">
        <f>IF(C136="",NA(),MATCH($B136&amp;$C136,'Smelter Look-up'!$J:$J,0))</f>
        <v>293</v>
      </c>
      <c r="W136" s="276"/>
      <c r="X136" s="276">
        <f t="shared" si="22"/>
        <v>0</v>
      </c>
      <c r="Y136" s="276"/>
      <c r="Z136" s="276"/>
      <c r="AB136" s="278" t="str">
        <f t="shared" si="23"/>
        <v>GoldSmelter not listed</v>
      </c>
    </row>
    <row r="137" spans="1:28" s="277" customFormat="1" ht="27.95" customHeight="1">
      <c r="A137" s="216"/>
      <c r="B137" s="217" t="s">
        <v>1153</v>
      </c>
      <c r="C137" s="221" t="s">
        <v>14219</v>
      </c>
      <c r="D137" s="283"/>
      <c r="E137" s="217" t="str">
        <f ca="1">IF(ISERROR($V137),"",OFFSET('Smelter Look-up'!$D$4,$V137-4,0)&amp;"")</f>
        <v>INDIA</v>
      </c>
      <c r="F137" s="217" t="str">
        <f ca="1">IF(ISERROR($V137),"",OFFSET('Smelter Look-up'!$E$4,$V137-4,0))</f>
        <v>CID002588</v>
      </c>
      <c r="G137" s="217" t="str">
        <f ca="1">IF(C137=$X$4,"Enter smelter details",IF(ISERROR($V137),"",OFFSET('Smelter Look-up'!$F$4,$V137-4,0)))</f>
        <v>RMI</v>
      </c>
      <c r="H137" s="218">
        <f ca="1">IF(ISERROR($V137),"",OFFSET('Smelter Look-up'!$G$4,$V137-4,0))</f>
        <v>0</v>
      </c>
      <c r="I137" s="219" t="str">
        <f ca="1">IF(ISERROR($V137),"",OFFSET('Smelter Look-up'!$H$4,$V137-4,0))</f>
        <v>Mumbai</v>
      </c>
      <c r="J137" s="219" t="str">
        <f ca="1">IF(ISERROR($V137),"",OFFSET('Smelter Look-up'!$I$4,$V137-4,0))</f>
        <v>Maharashtra</v>
      </c>
      <c r="K137" s="273"/>
      <c r="L137" s="273"/>
      <c r="M137" s="273"/>
      <c r="N137" s="273"/>
      <c r="O137" s="273"/>
      <c r="P137" s="220"/>
      <c r="Q137" s="274"/>
      <c r="R137" s="217" t="str">
        <f ca="1">IF(ISERROR($V137),"",OFFSET('Smelter Look-up'!$C$4,$V137-4,0)&amp;"")</f>
        <v>Shirpur Gold Refinery Ltd.</v>
      </c>
      <c r="S137" s="225" t="str">
        <f t="shared" ca="1" si="21"/>
        <v>IN</v>
      </c>
      <c r="T137" s="225" t="str">
        <f ca="1">IF(B137="","",IF(ISERROR(MATCH($J137,SorP!$B$1:$B$6230,0)),"",INDIRECT("'SorP'!$A$"&amp;MATCH($J137,SorP!$B$1:$B$6230,0))))</f>
        <v>IN-MH</v>
      </c>
      <c r="U137" s="241"/>
      <c r="V137" s="275">
        <f>IF(C137="",NA(),MATCH($B137&amp;$C137,'Smelter Look-up'!$J:$J,0))</f>
        <v>225</v>
      </c>
      <c r="W137" s="276"/>
      <c r="X137" s="276">
        <f t="shared" ca="1" si="22"/>
        <v>0</v>
      </c>
      <c r="Y137" s="276"/>
      <c r="Z137" s="276"/>
      <c r="AB137" s="278" t="str">
        <f t="shared" si="23"/>
        <v>GoldShirpur Gold Refinery Ltd.</v>
      </c>
    </row>
    <row r="138" spans="1:28" s="277" customFormat="1" ht="27.95" customHeight="1">
      <c r="A138" s="216"/>
      <c r="B138" s="217" t="s">
        <v>1153</v>
      </c>
      <c r="C138" s="221" t="s">
        <v>2266</v>
      </c>
      <c r="D138" s="283"/>
      <c r="E138" s="217" t="str">
        <f ca="1">IF(ISERROR($V138),"",OFFSET('Smelter Look-up'!$D$4,$V138-4,0)&amp;"")</f>
        <v>CHINA</v>
      </c>
      <c r="F138" s="217" t="str">
        <f ca="1">IF(ISERROR($V138),"",OFFSET('Smelter Look-up'!$E$4,$V138-4,0))</f>
        <v>CID001736</v>
      </c>
      <c r="G138" s="217" t="str">
        <f ca="1">IF(C138=$X$4,"Enter smelter details",IF(ISERROR($V138),"",OFFSET('Smelter Look-up'!$F$4,$V138-4,0)))</f>
        <v>RMI</v>
      </c>
      <c r="H138" s="218">
        <f ca="1">IF(ISERROR($V138),"",OFFSET('Smelter Look-up'!$G$4,$V138-4,0))</f>
        <v>0</v>
      </c>
      <c r="I138" s="219" t="str">
        <f ca="1">IF(ISERROR($V138),"",OFFSET('Smelter Look-up'!$H$4,$V138-4,0))</f>
        <v>Chengdu</v>
      </c>
      <c r="J138" s="219" t="str">
        <f ca="1">IF(ISERROR($V138),"",OFFSET('Smelter Look-up'!$I$4,$V138-4,0))</f>
        <v>Sichuan Sheng</v>
      </c>
      <c r="K138" s="273"/>
      <c r="L138" s="273"/>
      <c r="M138" s="273"/>
      <c r="N138" s="273"/>
      <c r="O138" s="273"/>
      <c r="P138" s="220"/>
      <c r="Q138" s="274"/>
      <c r="R138" s="217" t="str">
        <f ca="1">IF(ISERROR($V138),"",OFFSET('Smelter Look-up'!$C$4,$V138-4,0)&amp;"")</f>
        <v>Sichuan Tianze Precious Metals Co., Ltd.</v>
      </c>
      <c r="S138" s="225" t="str">
        <f t="shared" ca="1" si="21"/>
        <v>CN</v>
      </c>
      <c r="T138" s="225" t="str">
        <f ca="1">IF(B138="","",IF(ISERROR(MATCH($J138,SorP!$B$1:$B$6230,0)),"",INDIRECT("'SorP'!$A$"&amp;MATCH($J138,SorP!$B$1:$B$6230,0))))</f>
        <v>CN-SC</v>
      </c>
      <c r="U138" s="241"/>
      <c r="V138" s="275">
        <f>IF(C138="",NA(),MATCH($B138&amp;$C138,'Smelter Look-up'!$J:$J,0))</f>
        <v>228</v>
      </c>
      <c r="W138" s="276"/>
      <c r="X138" s="276">
        <f t="shared" ca="1" si="22"/>
        <v>0</v>
      </c>
      <c r="Y138" s="276"/>
      <c r="Z138" s="276"/>
      <c r="AB138" s="278" t="str">
        <f t="shared" si="23"/>
        <v>GoldSichuan Tianze Precious Metals Co., Ltd.</v>
      </c>
    </row>
    <row r="139" spans="1:28" s="277" customFormat="1" ht="27.95" customHeight="1">
      <c r="A139" s="216"/>
      <c r="B139" s="217" t="s">
        <v>1153</v>
      </c>
      <c r="C139" s="221" t="s">
        <v>1416</v>
      </c>
      <c r="D139" s="283"/>
      <c r="E139" s="217" t="str">
        <f ca="1">IF(ISERROR($V139),"",OFFSET('Smelter Look-up'!$D$4,$V139-4,0)&amp;"")</f>
        <v>TAIWAN, PROVINCE OF CHINA</v>
      </c>
      <c r="F139" s="217" t="str">
        <f ca="1">IF(ISERROR($V139),"",OFFSET('Smelter Look-up'!$E$4,$V139-4,0))</f>
        <v>CID002516</v>
      </c>
      <c r="G139" s="217" t="str">
        <f ca="1">IF(C139=$X$4,"Enter smelter details",IF(ISERROR($V139),"",OFFSET('Smelter Look-up'!$F$4,$V139-4,0)))</f>
        <v>RMI</v>
      </c>
      <c r="H139" s="218">
        <f ca="1">IF(ISERROR($V139),"",OFFSET('Smelter Look-up'!$G$4,$V139-4,0))</f>
        <v>0</v>
      </c>
      <c r="I139" s="219" t="str">
        <f ca="1">IF(ISERROR($V139),"",OFFSET('Smelter Look-up'!$H$4,$V139-4,0))</f>
        <v>Dayuan</v>
      </c>
      <c r="J139" s="219" t="str">
        <f ca="1">IF(ISERROR($V139),"",OFFSET('Smelter Look-up'!$I$4,$V139-4,0))</f>
        <v>Taoyuan</v>
      </c>
      <c r="K139" s="273"/>
      <c r="L139" s="273"/>
      <c r="M139" s="273"/>
      <c r="N139" s="273"/>
      <c r="O139" s="273"/>
      <c r="P139" s="220"/>
      <c r="Q139" s="274"/>
      <c r="R139" s="217" t="str">
        <f ca="1">IF(ISERROR($V139),"",OFFSET('Smelter Look-up'!$C$4,$V139-4,0)&amp;"")</f>
        <v>Singway Technology Co., Ltd.</v>
      </c>
      <c r="S139" s="225" t="str">
        <f t="shared" ca="1" si="21"/>
        <v>TW</v>
      </c>
      <c r="T139" s="225" t="str">
        <f ca="1">IF(B139="","",IF(ISERROR(MATCH($J139,SorP!$B$1:$B$6230,0)),"",INDIRECT("'SorP'!$A$"&amp;MATCH($J139,SorP!$B$1:$B$6230,0))))</f>
        <v>TW-TAO</v>
      </c>
      <c r="U139" s="241"/>
      <c r="V139" s="275">
        <f>IF(C139="",NA(),MATCH($B139&amp;$C139,'Smelter Look-up'!$J:$J,0))</f>
        <v>230</v>
      </c>
      <c r="W139" s="276"/>
      <c r="X139" s="276">
        <f t="shared" ca="1" si="22"/>
        <v>0</v>
      </c>
      <c r="Y139" s="276"/>
      <c r="Z139" s="276"/>
      <c r="AB139" s="278" t="str">
        <f t="shared" si="23"/>
        <v>GoldSingway Technology Co., Ltd.</v>
      </c>
    </row>
    <row r="140" spans="1:28" s="277" customFormat="1" ht="27.95" customHeight="1">
      <c r="A140" s="216"/>
      <c r="B140" s="217" t="s">
        <v>1153</v>
      </c>
      <c r="C140" s="221" t="s">
        <v>937</v>
      </c>
      <c r="D140" s="283"/>
      <c r="E140" s="217" t="str">
        <f ca="1">IF(ISERROR($V140),"",OFFSET('Smelter Look-up'!$D$4,$V140-4,0)&amp;"")</f>
        <v>RUSSIAN FEDERATION</v>
      </c>
      <c r="F140" s="217" t="str">
        <f ca="1">IF(ISERROR($V140),"",OFFSET('Smelter Look-up'!$E$4,$V140-4,0))</f>
        <v>CID001756</v>
      </c>
      <c r="G140" s="217" t="str">
        <f ca="1">IF(C140=$X$4,"Enter smelter details",IF(ISERROR($V140),"",OFFSET('Smelter Look-up'!$F$4,$V140-4,0)))</f>
        <v>RMI</v>
      </c>
      <c r="H140" s="218">
        <f ca="1">IF(ISERROR($V140),"",OFFSET('Smelter Look-up'!$G$4,$V140-4,0))</f>
        <v>0</v>
      </c>
      <c r="I140" s="219" t="str">
        <f ca="1">IF(ISERROR($V140),"",OFFSET('Smelter Look-up'!$H$4,$V140-4,0))</f>
        <v>Shyolkovo</v>
      </c>
      <c r="J140" s="219" t="str">
        <f ca="1">IF(ISERROR($V140),"",OFFSET('Smelter Look-up'!$I$4,$V140-4,0))</f>
        <v>Moskovskaja oblast'</v>
      </c>
      <c r="K140" s="273"/>
      <c r="L140" s="273"/>
      <c r="M140" s="273"/>
      <c r="N140" s="273"/>
      <c r="O140" s="273"/>
      <c r="P140" s="220"/>
      <c r="Q140" s="274"/>
      <c r="R140" s="217" t="str">
        <f ca="1">IF(ISERROR($V140),"",OFFSET('Smelter Look-up'!$C$4,$V140-4,0)&amp;"")</f>
        <v>SOE Shyolkovsky Factory of Secondary Precious Metals</v>
      </c>
      <c r="S140" s="225" t="str">
        <f t="shared" ca="1" si="21"/>
        <v>RU</v>
      </c>
      <c r="T140" s="225" t="str">
        <f ca="1">IF(B140="","",IF(ISERROR(MATCH($J140,SorP!$B$1:$B$6230,0)),"",INDIRECT("'SorP'!$A$"&amp;MATCH($J140,SorP!$B$1:$B$6230,0))))</f>
        <v>RU-MOS</v>
      </c>
      <c r="U140" s="241"/>
      <c r="V140" s="275">
        <f>IF(C140="",NA(),MATCH($B140&amp;$C140,'Smelter Look-up'!$J:$J,0))</f>
        <v>232</v>
      </c>
      <c r="W140" s="276"/>
      <c r="X140" s="276">
        <f t="shared" ca="1" si="22"/>
        <v>0</v>
      </c>
      <c r="Y140" s="276"/>
      <c r="Z140" s="276"/>
      <c r="AB140" s="278" t="str">
        <f t="shared" si="23"/>
        <v>GoldSOE Shyolkovsky Factory of Secondary Precious Metals</v>
      </c>
    </row>
    <row r="141" spans="1:28" s="277" customFormat="1" ht="27.95" customHeight="1">
      <c r="A141" s="216"/>
      <c r="B141" s="217" t="s">
        <v>1153</v>
      </c>
      <c r="C141" s="221" t="s">
        <v>938</v>
      </c>
      <c r="D141" s="283"/>
      <c r="E141" s="217" t="str">
        <f ca="1">IF(ISERROR($V141),"",OFFSET('Smelter Look-up'!$D$4,$V141-4,0)&amp;"")</f>
        <v>TAIWAN, PROVINCE OF CHINA</v>
      </c>
      <c r="F141" s="217" t="str">
        <f ca="1">IF(ISERROR($V141),"",OFFSET('Smelter Look-up'!$E$4,$V141-4,0))</f>
        <v>CID001761</v>
      </c>
      <c r="G141" s="217" t="str">
        <f ca="1">IF(C141=$X$4,"Enter smelter details",IF(ISERROR($V141),"",OFFSET('Smelter Look-up'!$F$4,$V141-4,0)))</f>
        <v>RMI</v>
      </c>
      <c r="H141" s="218">
        <f ca="1">IF(ISERROR($V141),"",OFFSET('Smelter Look-up'!$G$4,$V141-4,0))</f>
        <v>0</v>
      </c>
      <c r="I141" s="219" t="str">
        <f ca="1">IF(ISERROR($V141),"",OFFSET('Smelter Look-up'!$H$4,$V141-4,0))</f>
        <v>Tainan City</v>
      </c>
      <c r="J141" s="219" t="str">
        <f ca="1">IF(ISERROR($V141),"",OFFSET('Smelter Look-up'!$I$4,$V141-4,0))</f>
        <v>Tainan</v>
      </c>
      <c r="K141" s="273"/>
      <c r="L141" s="273"/>
      <c r="M141" s="273"/>
      <c r="N141" s="273"/>
      <c r="O141" s="273"/>
      <c r="P141" s="220"/>
      <c r="Q141" s="274"/>
      <c r="R141" s="217" t="str">
        <f ca="1">IF(ISERROR($V141),"",OFFSET('Smelter Look-up'!$C$4,$V141-4,0)&amp;"")</f>
        <v>Solar Applied Materials Technology Corp.</v>
      </c>
      <c r="S141" s="225" t="str">
        <f t="shared" ca="1" si="21"/>
        <v>TW</v>
      </c>
      <c r="T141" s="225" t="str">
        <f ca="1">IF(B141="","",IF(ISERROR(MATCH($J141,SorP!$B$1:$B$6230,0)),"",INDIRECT("'SorP'!$A$"&amp;MATCH($J141,SorP!$B$1:$B$6230,0))))</f>
        <v>TW-TNN</v>
      </c>
      <c r="U141" s="241"/>
      <c r="V141" s="275">
        <f>IF(C141="",NA(),MATCH($B141&amp;$C141,'Smelter Look-up'!$J:$J,0))</f>
        <v>233</v>
      </c>
      <c r="W141" s="276"/>
      <c r="X141" s="276">
        <f t="shared" ca="1" si="22"/>
        <v>0</v>
      </c>
      <c r="Y141" s="276"/>
      <c r="Z141" s="276"/>
      <c r="AB141" s="278" t="str">
        <f t="shared" si="23"/>
        <v>GoldSolar Applied Materials Technology Corp.</v>
      </c>
    </row>
    <row r="142" spans="1:28" s="277" customFormat="1" ht="27.95" customHeight="1">
      <c r="A142" s="216"/>
      <c r="B142" s="217" t="s">
        <v>1153</v>
      </c>
      <c r="C142" s="221" t="s">
        <v>14143</v>
      </c>
      <c r="D142" s="283"/>
      <c r="E142" s="217" t="str">
        <f ca="1">IF(ISERROR($V142),"",OFFSET('Smelter Look-up'!$D$4,$V142-4,0)&amp;"")</f>
        <v>INDIA</v>
      </c>
      <c r="F142" s="217" t="str">
        <f ca="1">IF(ISERROR($V142),"",OFFSET('Smelter Look-up'!$E$4,$V142-4,0))</f>
        <v>CID003383</v>
      </c>
      <c r="G142" s="217" t="str">
        <f ca="1">IF(C142=$X$4,"Enter smelter details",IF(ISERROR($V142),"",OFFSET('Smelter Look-up'!$F$4,$V142-4,0)))</f>
        <v>RMI</v>
      </c>
      <c r="H142" s="218">
        <f ca="1">IF(ISERROR($V142),"",OFFSET('Smelter Look-up'!$G$4,$V142-4,0))</f>
        <v>0</v>
      </c>
      <c r="I142" s="219">
        <f ca="1">IF(ISERROR($V142),"",OFFSET('Smelter Look-up'!$H$4,$V142-4,0))</f>
        <v>0</v>
      </c>
      <c r="J142" s="219" t="str">
        <f ca="1">IF(ISERROR($V142),"",OFFSET('Smelter Look-up'!$I$4,$V142-4,0))</f>
        <v>Gujarat</v>
      </c>
      <c r="K142" s="273"/>
      <c r="L142" s="273"/>
      <c r="M142" s="273"/>
      <c r="N142" s="273"/>
      <c r="O142" s="273"/>
      <c r="P142" s="220"/>
      <c r="Q142" s="274"/>
      <c r="R142" s="217" t="str">
        <f ca="1">IF(ISERROR($V142),"",OFFSET('Smelter Look-up'!$C$4,$V142-4,0)&amp;"")</f>
        <v>Sovereign Metals</v>
      </c>
      <c r="S142" s="225" t="str">
        <f t="shared" ca="1" si="21"/>
        <v>IN</v>
      </c>
      <c r="T142" s="225" t="str">
        <f ca="1">IF(B142="","",IF(ISERROR(MATCH($J142,SorP!$B$1:$B$6230,0)),"",INDIRECT("'SorP'!$A$"&amp;MATCH($J142,SorP!$B$1:$B$6230,0))))</f>
        <v>IN-GJ</v>
      </c>
      <c r="U142" s="241"/>
      <c r="V142" s="275">
        <f>IF(C142="",NA(),MATCH($B142&amp;$C142,'Smelter Look-up'!$J:$J,0))</f>
        <v>236</v>
      </c>
      <c r="W142" s="276"/>
      <c r="X142" s="276">
        <f t="shared" ca="1" si="22"/>
        <v>0</v>
      </c>
      <c r="Y142" s="276"/>
      <c r="Z142" s="276"/>
      <c r="AB142" s="278" t="str">
        <f t="shared" si="23"/>
        <v>GoldSovereign Metals</v>
      </c>
    </row>
    <row r="143" spans="1:28" s="277" customFormat="1" ht="27.95" customHeight="1">
      <c r="A143" s="216"/>
      <c r="B143" s="217" t="s">
        <v>1153</v>
      </c>
      <c r="C143" s="221" t="s">
        <v>2667</v>
      </c>
      <c r="D143" s="283"/>
      <c r="E143" s="217" t="str">
        <f ca="1">IF(ISERROR($V143),"",OFFSET('Smelter Look-up'!$D$4,$V143-4,0)&amp;"")</f>
        <v>LITHUANIA</v>
      </c>
      <c r="F143" s="217" t="str">
        <f ca="1">IF(ISERROR($V143),"",OFFSET('Smelter Look-up'!$E$4,$V143-4,0))</f>
        <v>CID003153</v>
      </c>
      <c r="G143" s="217" t="str">
        <f ca="1">IF(C143=$X$4,"Enter smelter details",IF(ISERROR($V143),"",OFFSET('Smelter Look-up'!$F$4,$V143-4,0)))</f>
        <v>RMI</v>
      </c>
      <c r="H143" s="218">
        <f ca="1">IF(ISERROR($V143),"",OFFSET('Smelter Look-up'!$G$4,$V143-4,0))</f>
        <v>0</v>
      </c>
      <c r="I143" s="219" t="str">
        <f ca="1">IF(ISERROR($V143),"",OFFSET('Smelter Look-up'!$H$4,$V143-4,0))</f>
        <v>Vilnius</v>
      </c>
      <c r="J143" s="219" t="str">
        <f ca="1">IF(ISERROR($V143),"",OFFSET('Smelter Look-up'!$I$4,$V143-4,0))</f>
        <v>Vilnius</v>
      </c>
      <c r="K143" s="273"/>
      <c r="L143" s="273"/>
      <c r="M143" s="273"/>
      <c r="N143" s="273"/>
      <c r="O143" s="273"/>
      <c r="P143" s="220"/>
      <c r="Q143" s="274"/>
      <c r="R143" s="217" t="str">
        <f ca="1">IF(ISERROR($V143),"",OFFSET('Smelter Look-up'!$C$4,$V143-4,0)&amp;"")</f>
        <v>State Research Institute Center for Physical Sciences and Technology</v>
      </c>
      <c r="S143" s="225" t="str">
        <f t="shared" ca="1" si="21"/>
        <v>LT</v>
      </c>
      <c r="T143" s="225" t="str">
        <f ca="1">IF(B143="","",IF(ISERROR(MATCH($J143,SorP!$B$1:$B$6230,0)),"",INDIRECT("'SorP'!$A$"&amp;MATCH($J143,SorP!$B$1:$B$6230,0))))</f>
        <v>LT-58</v>
      </c>
      <c r="U143" s="241"/>
      <c r="V143" s="275">
        <f>IF(C143="",NA(),MATCH($B143&amp;$C143,'Smelter Look-up'!$J:$J,0))</f>
        <v>237</v>
      </c>
      <c r="W143" s="276"/>
      <c r="X143" s="276">
        <f t="shared" ca="1" si="22"/>
        <v>0</v>
      </c>
      <c r="Y143" s="276"/>
      <c r="Z143" s="276"/>
      <c r="AB143" s="278" t="str">
        <f t="shared" si="23"/>
        <v>GoldState Research Institute Center for Physical Sciences and Technology</v>
      </c>
    </row>
    <row r="144" spans="1:28" s="277" customFormat="1" ht="27.95" customHeight="1">
      <c r="A144" s="216"/>
      <c r="B144" s="217" t="s">
        <v>1153</v>
      </c>
      <c r="C144" s="221" t="s">
        <v>1744</v>
      </c>
      <c r="D144" s="283"/>
      <c r="E144" s="217" t="str">
        <f ca="1">IF(ISERROR($V144),"",OFFSET('Smelter Look-up'!$D$4,$V144-4,0)&amp;"")</f>
        <v>SUDAN</v>
      </c>
      <c r="F144" s="217" t="str">
        <f ca="1">IF(ISERROR($V144),"",OFFSET('Smelter Look-up'!$E$4,$V144-4,0))</f>
        <v>CID002567</v>
      </c>
      <c r="G144" s="217" t="str">
        <f ca="1">IF(C144=$X$4,"Enter smelter details",IF(ISERROR($V144),"",OFFSET('Smelter Look-up'!$F$4,$V144-4,0)))</f>
        <v>RMI</v>
      </c>
      <c r="H144" s="218">
        <f ca="1">IF(ISERROR($V144),"",OFFSET('Smelter Look-up'!$G$4,$V144-4,0))</f>
        <v>0</v>
      </c>
      <c r="I144" s="219" t="str">
        <f ca="1">IF(ISERROR($V144),"",OFFSET('Smelter Look-up'!$H$4,$V144-4,0))</f>
        <v>Khartoum</v>
      </c>
      <c r="J144" s="219" t="str">
        <f ca="1">IF(ISERROR($V144),"",OFFSET('Smelter Look-up'!$I$4,$V144-4,0))</f>
        <v>Khartoum</v>
      </c>
      <c r="K144" s="273"/>
      <c r="L144" s="273"/>
      <c r="M144" s="273"/>
      <c r="N144" s="273"/>
      <c r="O144" s="273"/>
      <c r="P144" s="220"/>
      <c r="Q144" s="274"/>
      <c r="R144" s="217" t="str">
        <f ca="1">IF(ISERROR($V144),"",OFFSET('Smelter Look-up'!$C$4,$V144-4,0)&amp;"")</f>
        <v>Sudan Gold Refinery</v>
      </c>
      <c r="S144" s="225" t="str">
        <f t="shared" ca="1" si="21"/>
        <v>SD</v>
      </c>
      <c r="T144" s="225" t="str">
        <f ca="1">IF(B144="","",IF(ISERROR(MATCH($J144,SorP!$B$1:$B$6230,0)),"",INDIRECT("'SorP'!$A$"&amp;MATCH($J144,SorP!$B$1:$B$6230,0))))</f>
        <v>SD-KH</v>
      </c>
      <c r="U144" s="241"/>
      <c r="V144" s="275">
        <f>IF(C144="",NA(),MATCH($B144&amp;$C144,'Smelter Look-up'!$J:$J,0))</f>
        <v>238</v>
      </c>
      <c r="W144" s="276"/>
      <c r="X144" s="276">
        <f t="shared" ca="1" si="22"/>
        <v>0</v>
      </c>
      <c r="Y144" s="276"/>
      <c r="Z144" s="276"/>
      <c r="AB144" s="278" t="str">
        <f t="shared" si="23"/>
        <v>GoldSudan Gold Refinery</v>
      </c>
    </row>
    <row r="145" spans="1:28" s="277" customFormat="1" ht="27.95" customHeight="1">
      <c r="A145" s="216"/>
      <c r="B145" s="217" t="s">
        <v>1153</v>
      </c>
      <c r="C145" s="221" t="s">
        <v>60</v>
      </c>
      <c r="D145" s="283"/>
      <c r="E145" s="217" t="str">
        <f ca="1">IF(ISERROR($V145),"",OFFSET('Smelter Look-up'!$D$4,$V145-4,0)&amp;"")</f>
        <v>JAPAN</v>
      </c>
      <c r="F145" s="217" t="str">
        <f ca="1">IF(ISERROR($V145),"",OFFSET('Smelter Look-up'!$E$4,$V145-4,0))</f>
        <v>CID001798</v>
      </c>
      <c r="G145" s="217" t="str">
        <f ca="1">IF(C145=$X$4,"Enter smelter details",IF(ISERROR($V145),"",OFFSET('Smelter Look-up'!$F$4,$V145-4,0)))</f>
        <v>RMI</v>
      </c>
      <c r="H145" s="218">
        <f ca="1">IF(ISERROR($V145),"",OFFSET('Smelter Look-up'!$G$4,$V145-4,0))</f>
        <v>0</v>
      </c>
      <c r="I145" s="219" t="str">
        <f ca="1">IF(ISERROR($V145),"",OFFSET('Smelter Look-up'!$H$4,$V145-4,0))</f>
        <v>Saijo</v>
      </c>
      <c r="J145" s="219" t="str">
        <f ca="1">IF(ISERROR($V145),"",OFFSET('Smelter Look-up'!$I$4,$V145-4,0))</f>
        <v>Ehime</v>
      </c>
      <c r="K145" s="273"/>
      <c r="L145" s="273"/>
      <c r="M145" s="273"/>
      <c r="N145" s="273"/>
      <c r="O145" s="273"/>
      <c r="P145" s="220"/>
      <c r="Q145" s="274"/>
      <c r="R145" s="217" t="str">
        <f ca="1">IF(ISERROR($V145),"",OFFSET('Smelter Look-up'!$C$4,$V145-4,0)&amp;"")</f>
        <v>Sumitomo Metal Mining Co., Ltd.</v>
      </c>
      <c r="S145" s="225" t="str">
        <f t="shared" ca="1" si="21"/>
        <v>JP</v>
      </c>
      <c r="T145" s="225" t="str">
        <f ca="1">IF(B145="","",IF(ISERROR(MATCH($J145,SorP!$B$1:$B$6230,0)),"",INDIRECT("'SorP'!$A$"&amp;MATCH($J145,SorP!$B$1:$B$6230,0))))</f>
        <v>JP-38</v>
      </c>
      <c r="U145" s="241"/>
      <c r="V145" s="275">
        <f>IF(C145="",NA(),MATCH($B145&amp;$C145,'Smelter Look-up'!$J:$J,0))</f>
        <v>240</v>
      </c>
      <c r="W145" s="276"/>
      <c r="X145" s="276">
        <f t="shared" ca="1" si="22"/>
        <v>0</v>
      </c>
      <c r="Y145" s="276"/>
      <c r="Z145" s="276"/>
      <c r="AB145" s="278" t="str">
        <f t="shared" si="23"/>
        <v>GoldSumitomo Metal Mining Co., Ltd.</v>
      </c>
    </row>
    <row r="146" spans="1:28" s="277" customFormat="1" ht="27.95" customHeight="1">
      <c r="A146" s="216"/>
      <c r="B146" s="217" t="s">
        <v>1153</v>
      </c>
      <c r="C146" s="221" t="s">
        <v>13260</v>
      </c>
      <c r="D146" s="283"/>
      <c r="E146" s="217" t="str">
        <f ca="1">IF(ISERROR($V146),"",OFFSET('Smelter Look-up'!$D$4,$V146-4,0)&amp;"")</f>
        <v>KOREA, REPUBLIC OF</v>
      </c>
      <c r="F146" s="217" t="str">
        <f ca="1">IF(ISERROR($V146),"",OFFSET('Smelter Look-up'!$E$4,$V146-4,0))</f>
        <v>CID002918</v>
      </c>
      <c r="G146" s="217" t="str">
        <f ca="1">IF(C146=$X$4,"Enter smelter details",IF(ISERROR($V146),"",OFFSET('Smelter Look-up'!$F$4,$V146-4,0)))</f>
        <v>RMI</v>
      </c>
      <c r="H146" s="218">
        <f ca="1">IF(ISERROR($V146),"",OFFSET('Smelter Look-up'!$G$4,$V146-4,0))</f>
        <v>0</v>
      </c>
      <c r="I146" s="219" t="str">
        <f ca="1">IF(ISERROR($V146),"",OFFSET('Smelter Look-up'!$H$4,$V146-4,0))</f>
        <v>Gunsan-si</v>
      </c>
      <c r="J146" s="219" t="str">
        <f ca="1">IF(ISERROR($V146),"",OFFSET('Smelter Look-up'!$I$4,$V146-4,0))</f>
        <v>Jeollabuk-do</v>
      </c>
      <c r="K146" s="273"/>
      <c r="L146" s="273"/>
      <c r="M146" s="273"/>
      <c r="N146" s="273"/>
      <c r="O146" s="273"/>
      <c r="P146" s="220"/>
      <c r="Q146" s="274"/>
      <c r="R146" s="217" t="str">
        <f ca="1">IF(ISERROR($V146),"",OFFSET('Smelter Look-up'!$C$4,$V146-4,0)&amp;"")</f>
        <v>SungEel HiMetal Co., Ltd.</v>
      </c>
      <c r="S146" s="225" t="str">
        <f t="shared" ca="1" si="21"/>
        <v>KR</v>
      </c>
      <c r="T146" s="225" t="str">
        <f ca="1">IF(B146="","",IF(ISERROR(MATCH($J146,SorP!$B$1:$B$6230,0)),"",INDIRECT("'SorP'!$A$"&amp;MATCH($J146,SorP!$B$1:$B$6230,0))))</f>
        <v>KR-45</v>
      </c>
      <c r="U146" s="241"/>
      <c r="V146" s="275">
        <f>IF(C146="",NA(),MATCH($B146&amp;$C146,'Smelter Look-up'!$J:$J,0))</f>
        <v>241</v>
      </c>
      <c r="W146" s="276"/>
      <c r="X146" s="276">
        <f t="shared" ca="1" si="22"/>
        <v>0</v>
      </c>
      <c r="Y146" s="276"/>
      <c r="Z146" s="276"/>
      <c r="AB146" s="278" t="str">
        <f t="shared" si="23"/>
        <v>GoldSungEel HiMetal Co., Ltd.</v>
      </c>
    </row>
    <row r="147" spans="1:28" s="277" customFormat="1" ht="27.95" customHeight="1">
      <c r="A147" s="216"/>
      <c r="B147" s="217" t="s">
        <v>1153</v>
      </c>
      <c r="C147" s="221" t="s">
        <v>1898</v>
      </c>
      <c r="D147" s="221" t="s">
        <v>15511</v>
      </c>
      <c r="E147" s="217" t="s">
        <v>2575</v>
      </c>
      <c r="F147" s="217" t="s">
        <v>15518</v>
      </c>
      <c r="G147" s="217"/>
      <c r="H147" s="218">
        <f ca="1">IF(ISERROR($V147),"",OFFSET('Smelter Look-up'!$G$4,$V147-4,0))</f>
        <v>0</v>
      </c>
      <c r="I147" s="219">
        <f ca="1">IF(ISERROR($V147),"",OFFSET('Smelter Look-up'!$H$4,$V147-4,0))</f>
        <v>0</v>
      </c>
      <c r="J147" s="219">
        <f ca="1">IF(ISERROR($V147),"",OFFSET('Smelter Look-up'!$I$4,$V147-4,0))</f>
        <v>0</v>
      </c>
      <c r="K147" s="273"/>
      <c r="L147" s="273"/>
      <c r="M147" s="273"/>
      <c r="N147" s="273"/>
      <c r="O147" s="273"/>
      <c r="P147" s="220"/>
      <c r="Q147" s="274"/>
      <c r="R147" s="217" t="str">
        <f ca="1">IF(ISERROR($V147),"",OFFSET('Smelter Look-up'!$C$4,$V147-4,0)&amp;"")</f>
        <v/>
      </c>
      <c r="S147" s="225" t="str">
        <f t="shared" ca="1" si="21"/>
        <v>TW</v>
      </c>
      <c r="T147" s="225" t="str">
        <f ca="1">IF(B147="","",IF(ISERROR(MATCH($J147,SorP!$B$1:$B$6230,0)),"",INDIRECT("'SorP'!$A$"&amp;MATCH($J147,SorP!$B$1:$B$6230,0))))</f>
        <v/>
      </c>
      <c r="U147" s="241"/>
      <c r="V147" s="275">
        <f>IF(C147="",NA(),MATCH($B147&amp;$C147,'Smelter Look-up'!$J:$J,0))</f>
        <v>293</v>
      </c>
      <c r="W147" s="276"/>
      <c r="X147" s="276">
        <f t="shared" si="22"/>
        <v>0</v>
      </c>
      <c r="Y147" s="276"/>
      <c r="Z147" s="276"/>
      <c r="AB147" s="278" t="str">
        <f t="shared" si="23"/>
        <v>GoldSmelter not listed</v>
      </c>
    </row>
    <row r="148" spans="1:28" s="277" customFormat="1" ht="27.95" customHeight="1">
      <c r="A148" s="216"/>
      <c r="B148" s="217" t="s">
        <v>1153</v>
      </c>
      <c r="C148" s="221" t="s">
        <v>2327</v>
      </c>
      <c r="D148" s="283"/>
      <c r="E148" s="217" t="str">
        <f ca="1">IF(ISERROR($V148),"",OFFSET('Smelter Look-up'!$D$4,$V148-4,0)&amp;"")</f>
        <v>ITALY</v>
      </c>
      <c r="F148" s="217" t="str">
        <f ca="1">IF(ISERROR($V148),"",OFFSET('Smelter Look-up'!$E$4,$V148-4,0))</f>
        <v>CID002580</v>
      </c>
      <c r="G148" s="217" t="str">
        <f ca="1">IF(C148=$X$4,"Enter smelter details",IF(ISERROR($V148),"",OFFSET('Smelter Look-up'!$F$4,$V148-4,0)))</f>
        <v>RMI</v>
      </c>
      <c r="H148" s="218">
        <f ca="1">IF(ISERROR($V148),"",OFFSET('Smelter Look-up'!$G$4,$V148-4,0))</f>
        <v>0</v>
      </c>
      <c r="I148" s="219" t="str">
        <f ca="1">IF(ISERROR($V148),"",OFFSET('Smelter Look-up'!$H$4,$V148-4,0))</f>
        <v>Capolona</v>
      </c>
      <c r="J148" s="219" t="str">
        <f ca="1">IF(ISERROR($V148),"",OFFSET('Smelter Look-up'!$I$4,$V148-4,0))</f>
        <v>Toscana</v>
      </c>
      <c r="K148" s="273"/>
      <c r="L148" s="273"/>
      <c r="M148" s="273"/>
      <c r="N148" s="273"/>
      <c r="O148" s="273"/>
      <c r="P148" s="220"/>
      <c r="Q148" s="274"/>
      <c r="R148" s="217" t="str">
        <f ca="1">IF(ISERROR($V148),"",OFFSET('Smelter Look-up'!$C$4,$V148-4,0)&amp;"")</f>
        <v>T.C.A S.p.A</v>
      </c>
      <c r="S148" s="225" t="str">
        <f t="shared" ca="1" si="21"/>
        <v>IT</v>
      </c>
      <c r="T148" s="225" t="str">
        <f ca="1">IF(B148="","",IF(ISERROR(MATCH($J148,SorP!$B$1:$B$6230,0)),"",INDIRECT("'SorP'!$A$"&amp;MATCH($J148,SorP!$B$1:$B$6230,0))))</f>
        <v>IT-52</v>
      </c>
      <c r="U148" s="241"/>
      <c r="V148" s="275">
        <f>IF(C148="",NA(),MATCH($B148&amp;$C148,'Smelter Look-up'!$J:$J,0))</f>
        <v>243</v>
      </c>
      <c r="W148" s="276"/>
      <c r="X148" s="276">
        <f t="shared" ca="1" si="22"/>
        <v>0</v>
      </c>
      <c r="Y148" s="276"/>
      <c r="Z148" s="276"/>
      <c r="AB148" s="278" t="str">
        <f t="shared" si="23"/>
        <v>GoldT.C.A S.p.A</v>
      </c>
    </row>
    <row r="149" spans="1:28" s="277" customFormat="1" ht="27.95" customHeight="1">
      <c r="A149" s="216"/>
      <c r="B149" s="217" t="s">
        <v>1153</v>
      </c>
      <c r="C149" s="221" t="s">
        <v>1256</v>
      </c>
      <c r="D149" s="283"/>
      <c r="E149" s="217" t="str">
        <f ca="1">IF(ISERROR($V149),"",OFFSET('Smelter Look-up'!$D$4,$V149-4,0)&amp;"")</f>
        <v>JAPAN</v>
      </c>
      <c r="F149" s="217" t="str">
        <f ca="1">IF(ISERROR($V149),"",OFFSET('Smelter Look-up'!$E$4,$V149-4,0))</f>
        <v>CID001875</v>
      </c>
      <c r="G149" s="217" t="str">
        <f ca="1">IF(C149=$X$4,"Enter smelter details",IF(ISERROR($V149),"",OFFSET('Smelter Look-up'!$F$4,$V149-4,0)))</f>
        <v>RMI</v>
      </c>
      <c r="H149" s="218">
        <f ca="1">IF(ISERROR($V149),"",OFFSET('Smelter Look-up'!$G$4,$V149-4,0))</f>
        <v>0</v>
      </c>
      <c r="I149" s="219" t="str">
        <f ca="1">IF(ISERROR($V149),"",OFFSET('Smelter Look-up'!$H$4,$V149-4,0))</f>
        <v>Hiratsuka</v>
      </c>
      <c r="J149" s="219" t="str">
        <f ca="1">IF(ISERROR($V149),"",OFFSET('Smelter Look-up'!$I$4,$V149-4,0))</f>
        <v>Kanagawa</v>
      </c>
      <c r="K149" s="273"/>
      <c r="L149" s="273"/>
      <c r="M149" s="273"/>
      <c r="N149" s="273"/>
      <c r="O149" s="273"/>
      <c r="P149" s="220"/>
      <c r="Q149" s="274"/>
      <c r="R149" s="217" t="str">
        <f ca="1">IF(ISERROR($V149),"",OFFSET('Smelter Look-up'!$C$4,$V149-4,0)&amp;"")</f>
        <v>Tanaka Kikinzoku Kogyo K.K.</v>
      </c>
      <c r="S149" s="225" t="str">
        <f t="shared" ca="1" si="21"/>
        <v>JP</v>
      </c>
      <c r="T149" s="225" t="str">
        <f ca="1">IF(B149="","",IF(ISERROR(MATCH($J149,SorP!$B$1:$B$6230,0)),"",INDIRECT("'SorP'!$A$"&amp;MATCH($J149,SorP!$B$1:$B$6230,0))))</f>
        <v>JP-14</v>
      </c>
      <c r="U149" s="241"/>
      <c r="V149" s="275">
        <f>IF(C149="",NA(),MATCH($B149&amp;$C149,'Smelter Look-up'!$J:$J,0))</f>
        <v>252</v>
      </c>
      <c r="W149" s="276"/>
      <c r="X149" s="276">
        <f t="shared" ca="1" si="22"/>
        <v>0</v>
      </c>
      <c r="Y149" s="276"/>
      <c r="Z149" s="276"/>
      <c r="AB149" s="278" t="str">
        <f t="shared" si="23"/>
        <v>GoldTanaka Kikinzoku Kogyo K.K.</v>
      </c>
    </row>
    <row r="150" spans="1:28" s="277" customFormat="1" ht="27.95" customHeight="1">
      <c r="A150" s="216"/>
      <c r="B150" s="217" t="s">
        <v>1153</v>
      </c>
      <c r="C150" s="221" t="s">
        <v>2268</v>
      </c>
      <c r="D150" s="283"/>
      <c r="E150" s="217" t="str">
        <f ca="1">IF(ISERROR($V150),"",OFFSET('Smelter Look-up'!$D$4,$V150-4,0)&amp;"")</f>
        <v>CHINA</v>
      </c>
      <c r="F150" s="217" t="str">
        <f ca="1">IF(ISERROR($V150),"",OFFSET('Smelter Look-up'!$E$4,$V150-4,0))</f>
        <v>CID001916</v>
      </c>
      <c r="G150" s="217" t="str">
        <f ca="1">IF(C150=$X$4,"Enter smelter details",IF(ISERROR($V150),"",OFFSET('Smelter Look-up'!$F$4,$V150-4,0)))</f>
        <v>RMI</v>
      </c>
      <c r="H150" s="218">
        <f ca="1">IF(ISERROR($V150),"",OFFSET('Smelter Look-up'!$G$4,$V150-4,0))</f>
        <v>0</v>
      </c>
      <c r="I150" s="219" t="str">
        <f ca="1">IF(ISERROR($V150),"",OFFSET('Smelter Look-up'!$H$4,$V150-4,0))</f>
        <v>Laizhou</v>
      </c>
      <c r="J150" s="219" t="str">
        <f ca="1">IF(ISERROR($V150),"",OFFSET('Smelter Look-up'!$I$4,$V150-4,0))</f>
        <v>Shandong Sheng</v>
      </c>
      <c r="K150" s="273"/>
      <c r="L150" s="273"/>
      <c r="M150" s="273"/>
      <c r="N150" s="273"/>
      <c r="O150" s="273"/>
      <c r="P150" s="220"/>
      <c r="Q150" s="274"/>
      <c r="R150" s="217" t="str">
        <f ca="1">IF(ISERROR($V150),"",OFFSET('Smelter Look-up'!$C$4,$V150-4,0)&amp;"")</f>
        <v>The Refinery of Shandong Gold Mining Co., Ltd.</v>
      </c>
      <c r="S150" s="225" t="str">
        <f t="shared" ca="1" si="21"/>
        <v>CN</v>
      </c>
      <c r="T150" s="225" t="str">
        <f ca="1">IF(B150="","",IF(ISERROR(MATCH($J150,SorP!$B$1:$B$6230,0)),"",INDIRECT("'SorP'!$A$"&amp;MATCH($J150,SorP!$B$1:$B$6230,0))))</f>
        <v>CN-SD</v>
      </c>
      <c r="U150" s="241"/>
      <c r="V150" s="275">
        <f>IF(C150="",NA(),MATCH($B150&amp;$C150,'Smelter Look-up'!$J:$J,0))</f>
        <v>256</v>
      </c>
      <c r="W150" s="276"/>
      <c r="X150" s="276">
        <f t="shared" ca="1" si="22"/>
        <v>0</v>
      </c>
      <c r="Y150" s="276"/>
      <c r="Z150" s="276"/>
      <c r="AB150" s="278" t="str">
        <f t="shared" si="23"/>
        <v>GoldThe Refinery of Shandong Gold Mining Co., Ltd.</v>
      </c>
    </row>
    <row r="151" spans="1:28" s="277" customFormat="1" ht="27.95" customHeight="1">
      <c r="A151" s="216"/>
      <c r="B151" s="217" t="s">
        <v>1153</v>
      </c>
      <c r="C151" s="221" t="s">
        <v>2269</v>
      </c>
      <c r="D151" s="283"/>
      <c r="E151" s="217" t="str">
        <f ca="1">IF(ISERROR($V151),"",OFFSET('Smelter Look-up'!$D$4,$V151-4,0)&amp;"")</f>
        <v>JAPAN</v>
      </c>
      <c r="F151" s="217" t="str">
        <f ca="1">IF(ISERROR($V151),"",OFFSET('Smelter Look-up'!$E$4,$V151-4,0))</f>
        <v>CID001938</v>
      </c>
      <c r="G151" s="217" t="str">
        <f ca="1">IF(C151=$X$4,"Enter smelter details",IF(ISERROR($V151),"",OFFSET('Smelter Look-up'!$F$4,$V151-4,0)))</f>
        <v>RMI</v>
      </c>
      <c r="H151" s="218">
        <f ca="1">IF(ISERROR($V151),"",OFFSET('Smelter Look-up'!$G$4,$V151-4,0))</f>
        <v>0</v>
      </c>
      <c r="I151" s="219" t="str">
        <f ca="1">IF(ISERROR($V151),"",OFFSET('Smelter Look-up'!$H$4,$V151-4,0))</f>
        <v>Kuki</v>
      </c>
      <c r="J151" s="219" t="str">
        <f ca="1">IF(ISERROR($V151),"",OFFSET('Smelter Look-up'!$I$4,$V151-4,0))</f>
        <v>Saitama</v>
      </c>
      <c r="K151" s="273"/>
      <c r="L151" s="273"/>
      <c r="M151" s="273"/>
      <c r="N151" s="273"/>
      <c r="O151" s="273"/>
      <c r="P151" s="220"/>
      <c r="Q151" s="274"/>
      <c r="R151" s="217" t="str">
        <f ca="1">IF(ISERROR($V151),"",OFFSET('Smelter Look-up'!$C$4,$V151-4,0)&amp;"")</f>
        <v>Tokuriki Honten Co., Ltd.</v>
      </c>
      <c r="S151" s="225" t="str">
        <f t="shared" ca="1" si="21"/>
        <v>JP</v>
      </c>
      <c r="T151" s="225" t="str">
        <f ca="1">IF(B151="","",IF(ISERROR(MATCH($J151,SorP!$B$1:$B$6230,0)),"",INDIRECT("'SorP'!$A$"&amp;MATCH($J151,SorP!$B$1:$B$6230,0))))</f>
        <v>JP-11</v>
      </c>
      <c r="U151" s="241"/>
      <c r="V151" s="275">
        <f>IF(C151="",NA(),MATCH($B151&amp;$C151,'Smelter Look-up'!$J:$J,0))</f>
        <v>257</v>
      </c>
      <c r="W151" s="276"/>
      <c r="X151" s="276">
        <f t="shared" ca="1" si="22"/>
        <v>0</v>
      </c>
      <c r="Y151" s="276"/>
      <c r="Z151" s="276"/>
      <c r="AB151" s="278" t="str">
        <f t="shared" si="23"/>
        <v>GoldTokuriki Honten Co., Ltd.</v>
      </c>
    </row>
    <row r="152" spans="1:28" s="277" customFormat="1" ht="27.95" customHeight="1">
      <c r="A152" s="216"/>
      <c r="B152" s="217" t="s">
        <v>1153</v>
      </c>
      <c r="C152" s="221" t="s">
        <v>2306</v>
      </c>
      <c r="D152" s="283"/>
      <c r="E152" s="217" t="str">
        <f ca="1">IF(ISERROR($V152),"",OFFSET('Smelter Look-up'!$D$4,$V152-4,0)&amp;"")</f>
        <v>CHINA</v>
      </c>
      <c r="F152" s="217" t="str">
        <f ca="1">IF(ISERROR($V152),"",OFFSET('Smelter Look-up'!$E$4,$V152-4,0))</f>
        <v>CID001947</v>
      </c>
      <c r="G152" s="217" t="str">
        <f ca="1">IF(C152=$X$4,"Enter smelter details",IF(ISERROR($V152),"",OFFSET('Smelter Look-up'!$F$4,$V152-4,0)))</f>
        <v>RMI</v>
      </c>
      <c r="H152" s="218">
        <f ca="1">IF(ISERROR($V152),"",OFFSET('Smelter Look-up'!$G$4,$V152-4,0))</f>
        <v>0</v>
      </c>
      <c r="I152" s="219" t="str">
        <f ca="1">IF(ISERROR($V152),"",OFFSET('Smelter Look-up'!$H$4,$V152-4,0))</f>
        <v>Tongling</v>
      </c>
      <c r="J152" s="219" t="str">
        <f ca="1">IF(ISERROR($V152),"",OFFSET('Smelter Look-up'!$I$4,$V152-4,0))</f>
        <v>Anhui Sheng</v>
      </c>
      <c r="K152" s="273"/>
      <c r="L152" s="273"/>
      <c r="M152" s="273"/>
      <c r="N152" s="273"/>
      <c r="O152" s="273"/>
      <c r="P152" s="220"/>
      <c r="Q152" s="274"/>
      <c r="R152" s="217" t="str">
        <f ca="1">IF(ISERROR($V152),"",OFFSET('Smelter Look-up'!$C$4,$V152-4,0)&amp;"")</f>
        <v>Tongling Nonferrous Metals Group Co., Ltd.</v>
      </c>
      <c r="S152" s="225" t="str">
        <f t="shared" ca="1" si="21"/>
        <v>CN</v>
      </c>
      <c r="T152" s="225" t="str">
        <f ca="1">IF(B152="","",IF(ISERROR(MATCH($J152,SorP!$B$1:$B$6230,0)),"",INDIRECT("'SorP'!$A$"&amp;MATCH($J152,SorP!$B$1:$B$6230,0))))</f>
        <v>CN-AH</v>
      </c>
      <c r="U152" s="241"/>
      <c r="V152" s="275">
        <f>IF(C152="",NA(),MATCH($B152&amp;$C152,'Smelter Look-up'!$J:$J,0))</f>
        <v>258</v>
      </c>
      <c r="W152" s="276"/>
      <c r="X152" s="276">
        <f t="shared" ca="1" si="22"/>
        <v>0</v>
      </c>
      <c r="Y152" s="276"/>
      <c r="Z152" s="276"/>
      <c r="AB152" s="278" t="str">
        <f t="shared" si="23"/>
        <v>GoldTongling Nonferrous Metals Group Co., Ltd.</v>
      </c>
    </row>
    <row r="153" spans="1:28" s="277" customFormat="1" ht="27.95" customHeight="1">
      <c r="A153" s="216"/>
      <c r="B153" s="217" t="s">
        <v>1153</v>
      </c>
      <c r="C153" s="221" t="s">
        <v>2373</v>
      </c>
      <c r="D153" s="283"/>
      <c r="E153" s="217" t="str">
        <f ca="1">IF(ISERROR($V153),"",OFFSET('Smelter Look-up'!$D$4,$V153-4,0)&amp;"")</f>
        <v>BELGIUM</v>
      </c>
      <c r="F153" s="217" t="str">
        <f ca="1">IF(ISERROR($V153),"",OFFSET('Smelter Look-up'!$E$4,$V153-4,0))</f>
        <v>CID002587</v>
      </c>
      <c r="G153" s="217" t="str">
        <f ca="1">IF(C153=$X$4,"Enter smelter details",IF(ISERROR($V153),"",OFFSET('Smelter Look-up'!$F$4,$V153-4,0)))</f>
        <v>RMI</v>
      </c>
      <c r="H153" s="218">
        <f ca="1">IF(ISERROR($V153),"",OFFSET('Smelter Look-up'!$G$4,$V153-4,0))</f>
        <v>0</v>
      </c>
      <c r="I153" s="219" t="str">
        <f ca="1">IF(ISERROR($V153),"",OFFSET('Smelter Look-up'!$H$4,$V153-4,0))</f>
        <v>Antwerp</v>
      </c>
      <c r="J153" s="219" t="str">
        <f ca="1">IF(ISERROR($V153),"",OFFSET('Smelter Look-up'!$I$4,$V153-4,0))</f>
        <v>Antwerpen</v>
      </c>
      <c r="K153" s="273"/>
      <c r="L153" s="273"/>
      <c r="M153" s="273"/>
      <c r="N153" s="273"/>
      <c r="O153" s="273"/>
      <c r="P153" s="220"/>
      <c r="Q153" s="274"/>
      <c r="R153" s="217" t="str">
        <f ca="1">IF(ISERROR($V153),"",OFFSET('Smelter Look-up'!$C$4,$V153-4,0)&amp;"")</f>
        <v>Tony Goetz NV</v>
      </c>
      <c r="S153" s="225" t="str">
        <f t="shared" ca="1" si="21"/>
        <v>BE</v>
      </c>
      <c r="T153" s="225" t="str">
        <f ca="1">IF(B153="","",IF(ISERROR(MATCH($J153,SorP!$B$1:$B$6230,0)),"",INDIRECT("'SorP'!$A$"&amp;MATCH($J153,SorP!$B$1:$B$6230,0))))</f>
        <v>BE-VAN</v>
      </c>
      <c r="U153" s="241"/>
      <c r="V153" s="275">
        <f>IF(C153="",NA(),MATCH($B153&amp;$C153,'Smelter Look-up'!$J:$J,0))</f>
        <v>260</v>
      </c>
      <c r="W153" s="276"/>
      <c r="X153" s="276">
        <f t="shared" ca="1" si="22"/>
        <v>0</v>
      </c>
      <c r="Y153" s="276"/>
      <c r="Z153" s="276"/>
      <c r="AB153" s="278" t="str">
        <f t="shared" si="23"/>
        <v>GoldTony Goetz NV</v>
      </c>
    </row>
    <row r="154" spans="1:28" s="277" customFormat="1" ht="27.95" customHeight="1">
      <c r="A154" s="216"/>
      <c r="B154" s="217" t="s">
        <v>1153</v>
      </c>
      <c r="C154" s="221" t="s">
        <v>2454</v>
      </c>
      <c r="D154" s="283"/>
      <c r="E154" s="217" t="str">
        <f ca="1">IF(ISERROR($V154),"",OFFSET('Smelter Look-up'!$D$4,$V154-4,0)&amp;"")</f>
        <v>KAZAKHSTAN</v>
      </c>
      <c r="F154" s="217" t="str">
        <f ca="1">IF(ISERROR($V154),"",OFFSET('Smelter Look-up'!$E$4,$V154-4,0))</f>
        <v>CID002615</v>
      </c>
      <c r="G154" s="217" t="str">
        <f ca="1">IF(C154=$X$4,"Enter smelter details",IF(ISERROR($V154),"",OFFSET('Smelter Look-up'!$F$4,$V154-4,0)))</f>
        <v>RMI</v>
      </c>
      <c r="H154" s="218">
        <f ca="1">IF(ISERROR($V154),"",OFFSET('Smelter Look-up'!$G$4,$V154-4,0))</f>
        <v>0</v>
      </c>
      <c r="I154" s="219" t="str">
        <f ca="1">IF(ISERROR($V154),"",OFFSET('Smelter Look-up'!$H$4,$V154-4,0))</f>
        <v>Astana</v>
      </c>
      <c r="J154" s="219" t="str">
        <f ca="1">IF(ISERROR($V154),"",OFFSET('Smelter Look-up'!$I$4,$V154-4,0))</f>
        <v>Almaty</v>
      </c>
      <c r="K154" s="273"/>
      <c r="L154" s="273"/>
      <c r="M154" s="273"/>
      <c r="N154" s="273"/>
      <c r="O154" s="273"/>
      <c r="P154" s="220"/>
      <c r="Q154" s="274"/>
      <c r="R154" s="217" t="str">
        <f ca="1">IF(ISERROR($V154),"",OFFSET('Smelter Look-up'!$C$4,$V154-4,0)&amp;"")</f>
        <v>TOO Tau-Ken-Altyn</v>
      </c>
      <c r="S154" s="225" t="str">
        <f t="shared" ca="1" si="21"/>
        <v>KZ</v>
      </c>
      <c r="T154" s="225" t="str">
        <f ca="1">IF(B154="","",IF(ISERROR(MATCH($J154,SorP!$B$1:$B$6230,0)),"",INDIRECT("'SorP'!$A$"&amp;MATCH($J154,SorP!$B$1:$B$6230,0))))</f>
        <v>KZ-ALA</v>
      </c>
      <c r="U154" s="241"/>
      <c r="V154" s="275">
        <f>IF(C154="",NA(),MATCH($B154&amp;$C154,'Smelter Look-up'!$J:$J,0))</f>
        <v>261</v>
      </c>
      <c r="W154" s="276"/>
      <c r="X154" s="276">
        <f t="shared" ca="1" si="22"/>
        <v>0</v>
      </c>
      <c r="Y154" s="276"/>
      <c r="Z154" s="276"/>
      <c r="AB154" s="278" t="str">
        <f t="shared" si="23"/>
        <v>GoldTOO Tau-Ken-Altyn</v>
      </c>
    </row>
    <row r="155" spans="1:28" s="277" customFormat="1" ht="27.95" customHeight="1">
      <c r="A155" s="216"/>
      <c r="B155" s="217" t="s">
        <v>1153</v>
      </c>
      <c r="C155" s="221" t="s">
        <v>626</v>
      </c>
      <c r="D155" s="283"/>
      <c r="E155" s="217" t="str">
        <f ca="1">IF(ISERROR($V155),"",OFFSET('Smelter Look-up'!$D$4,$V155-4,0)&amp;"")</f>
        <v>KOREA, REPUBLIC OF</v>
      </c>
      <c r="F155" s="217" t="str">
        <f ca="1">IF(ISERROR($V155),"",OFFSET('Smelter Look-up'!$E$4,$V155-4,0))</f>
        <v>CID001955</v>
      </c>
      <c r="G155" s="217" t="str">
        <f ca="1">IF(C155=$X$4,"Enter smelter details",IF(ISERROR($V155),"",OFFSET('Smelter Look-up'!$F$4,$V155-4,0)))</f>
        <v>RMI</v>
      </c>
      <c r="H155" s="218">
        <f ca="1">IF(ISERROR($V155),"",OFFSET('Smelter Look-up'!$G$4,$V155-4,0))</f>
        <v>0</v>
      </c>
      <c r="I155" s="219" t="str">
        <f ca="1">IF(ISERROR($V155),"",OFFSET('Smelter Look-up'!$H$4,$V155-4,0))</f>
        <v>Asan</v>
      </c>
      <c r="J155" s="219" t="str">
        <f ca="1">IF(ISERROR($V155),"",OFFSET('Smelter Look-up'!$I$4,$V155-4,0))</f>
        <v>Chungcheongnam-do</v>
      </c>
      <c r="K155" s="273"/>
      <c r="L155" s="273"/>
      <c r="M155" s="273"/>
      <c r="N155" s="273"/>
      <c r="O155" s="273"/>
      <c r="P155" s="220"/>
      <c r="Q155" s="274"/>
      <c r="R155" s="217" t="str">
        <f ca="1">IF(ISERROR($V155),"",OFFSET('Smelter Look-up'!$C$4,$V155-4,0)&amp;"")</f>
        <v>Torecom</v>
      </c>
      <c r="S155" s="225" t="str">
        <f t="shared" ca="1" si="21"/>
        <v>KR</v>
      </c>
      <c r="T155" s="225" t="str">
        <f ca="1">IF(B155="","",IF(ISERROR(MATCH($J155,SorP!$B$1:$B$6230,0)),"",INDIRECT("'SorP'!$A$"&amp;MATCH($J155,SorP!$B$1:$B$6230,0))))</f>
        <v>KR-44</v>
      </c>
      <c r="U155" s="241"/>
      <c r="V155" s="275">
        <f>IF(C155="",NA(),MATCH($B155&amp;$C155,'Smelter Look-up'!$J:$J,0))</f>
        <v>262</v>
      </c>
      <c r="W155" s="276"/>
      <c r="X155" s="276">
        <f t="shared" ca="1" si="22"/>
        <v>0</v>
      </c>
      <c r="Y155" s="276"/>
      <c r="Z155" s="276"/>
      <c r="AB155" s="278" t="str">
        <f t="shared" si="23"/>
        <v>GoldTorecom</v>
      </c>
    </row>
    <row r="156" spans="1:28" s="277" customFormat="1" ht="27.95" customHeight="1">
      <c r="A156" s="216"/>
      <c r="B156" s="217" t="s">
        <v>1153</v>
      </c>
      <c r="C156" s="221" t="s">
        <v>149</v>
      </c>
      <c r="D156" s="283"/>
      <c r="E156" s="217" t="str">
        <f ca="1">IF(ISERROR($V156),"",OFFSET('Smelter Look-up'!$D$4,$V156-4,0)&amp;"")</f>
        <v>THAILAND</v>
      </c>
      <c r="F156" s="217" t="str">
        <f ca="1">IF(ISERROR($V156),"",OFFSET('Smelter Look-up'!$E$4,$V156-4,0))</f>
        <v>CID002314</v>
      </c>
      <c r="G156" s="217" t="str">
        <f ca="1">IF(C156=$X$4,"Enter smelter details",IF(ISERROR($V156),"",OFFSET('Smelter Look-up'!$F$4,$V156-4,0)))</f>
        <v>RMI</v>
      </c>
      <c r="H156" s="218">
        <f ca="1">IF(ISERROR($V156),"",OFFSET('Smelter Look-up'!$G$4,$V156-4,0))</f>
        <v>0</v>
      </c>
      <c r="I156" s="219" t="str">
        <f ca="1">IF(ISERROR($V156),"",OFFSET('Smelter Look-up'!$H$4,$V156-4,0))</f>
        <v>Khwaeng Dok Mai</v>
      </c>
      <c r="J156" s="219" t="str">
        <f ca="1">IF(ISERROR($V156),"",OFFSET('Smelter Look-up'!$I$4,$V156-4,0))</f>
        <v>Krung Thep Maha Nakhon</v>
      </c>
      <c r="K156" s="273"/>
      <c r="L156" s="273"/>
      <c r="M156" s="273"/>
      <c r="N156" s="273"/>
      <c r="O156" s="273"/>
      <c r="P156" s="220"/>
      <c r="Q156" s="274"/>
      <c r="R156" s="217" t="str">
        <f ca="1">IF(ISERROR($V156),"",OFFSET('Smelter Look-up'!$C$4,$V156-4,0)&amp;"")</f>
        <v>Umicore Precious Metals Thailand</v>
      </c>
      <c r="S156" s="225" t="str">
        <f t="shared" ca="1" si="21"/>
        <v>TH</v>
      </c>
      <c r="T156" s="225" t="str">
        <f ca="1">IF(B156="","",IF(ISERROR(MATCH($J156,SorP!$B$1:$B$6230,0)),"",INDIRECT("'SorP'!$A$"&amp;MATCH($J156,SorP!$B$1:$B$6230,0))))</f>
        <v>TH-10</v>
      </c>
      <c r="U156" s="241"/>
      <c r="V156" s="275">
        <f>IF(C156="",NA(),MATCH($B156&amp;$C156,'Smelter Look-up'!$J:$J,0))</f>
        <v>266</v>
      </c>
      <c r="W156" s="276"/>
      <c r="X156" s="276">
        <f t="shared" ca="1" si="22"/>
        <v>0</v>
      </c>
      <c r="Y156" s="276"/>
      <c r="Z156" s="276"/>
      <c r="AB156" s="278" t="str">
        <f t="shared" si="23"/>
        <v>GoldUmicore Precious Metals Thailand</v>
      </c>
    </row>
    <row r="157" spans="1:28" s="277" customFormat="1" ht="27.95" customHeight="1">
      <c r="A157" s="216"/>
      <c r="B157" s="217" t="s">
        <v>1153</v>
      </c>
      <c r="C157" s="221" t="s">
        <v>2458</v>
      </c>
      <c r="D157" s="283"/>
      <c r="E157" s="217" t="str">
        <f ca="1">IF(ISERROR($V157),"",OFFSET('Smelter Look-up'!$D$4,$V157-4,0)&amp;"")</f>
        <v>BELGIUM</v>
      </c>
      <c r="F157" s="217" t="str">
        <f ca="1">IF(ISERROR($V157),"",OFFSET('Smelter Look-up'!$E$4,$V157-4,0))</f>
        <v>CID001980</v>
      </c>
      <c r="G157" s="217" t="str">
        <f ca="1">IF(C157=$X$4,"Enter smelter details",IF(ISERROR($V157),"",OFFSET('Smelter Look-up'!$F$4,$V157-4,0)))</f>
        <v>RMI</v>
      </c>
      <c r="H157" s="218">
        <f ca="1">IF(ISERROR($V157),"",OFFSET('Smelter Look-up'!$G$4,$V157-4,0))</f>
        <v>0</v>
      </c>
      <c r="I157" s="219" t="str">
        <f ca="1">IF(ISERROR($V157),"",OFFSET('Smelter Look-up'!$H$4,$V157-4,0))</f>
        <v>Hoboken</v>
      </c>
      <c r="J157" s="219" t="str">
        <f ca="1">IF(ISERROR($V157),"",OFFSET('Smelter Look-up'!$I$4,$V157-4,0))</f>
        <v>Antwerpen</v>
      </c>
      <c r="K157" s="273"/>
      <c r="L157" s="273"/>
      <c r="M157" s="273"/>
      <c r="N157" s="273"/>
      <c r="O157" s="273"/>
      <c r="P157" s="220"/>
      <c r="Q157" s="274"/>
      <c r="R157" s="217" t="str">
        <f ca="1">IF(ISERROR($V157),"",OFFSET('Smelter Look-up'!$C$4,$V157-4,0)&amp;"")</f>
        <v>Umicore S.A. Business Unit Precious Metals Refining</v>
      </c>
      <c r="S157" s="225" t="str">
        <f t="shared" ca="1" si="21"/>
        <v>BE</v>
      </c>
      <c r="T157" s="225" t="str">
        <f ca="1">IF(B157="","",IF(ISERROR(MATCH($J157,SorP!$B$1:$B$6230,0)),"",INDIRECT("'SorP'!$A$"&amp;MATCH($J157,SorP!$B$1:$B$6230,0))))</f>
        <v>BE-VAN</v>
      </c>
      <c r="U157" s="241"/>
      <c r="V157" s="275">
        <f>IF(C157="",NA(),MATCH($B157&amp;$C157,'Smelter Look-up'!$J:$J,0))</f>
        <v>267</v>
      </c>
      <c r="W157" s="276"/>
      <c r="X157" s="276">
        <f t="shared" ca="1" si="22"/>
        <v>0</v>
      </c>
      <c r="Y157" s="276"/>
      <c r="Z157" s="276"/>
      <c r="AB157" s="278" t="str">
        <f t="shared" si="23"/>
        <v>GoldUmicore S.A. Business Unit Precious Metals Refining</v>
      </c>
    </row>
    <row r="158" spans="1:28" s="277" customFormat="1" ht="27.95" customHeight="1">
      <c r="A158" s="216"/>
      <c r="B158" s="217" t="s">
        <v>1153</v>
      </c>
      <c r="C158" s="221" t="s">
        <v>843</v>
      </c>
      <c r="D158" s="283"/>
      <c r="E158" s="217" t="str">
        <f ca="1">IF(ISERROR($V158),"",OFFSET('Smelter Look-up'!$D$4,$V158-4,0)&amp;"")</f>
        <v>UNITED STATES OF AMERICA</v>
      </c>
      <c r="F158" s="217" t="str">
        <f ca="1">IF(ISERROR($V158),"",OFFSET('Smelter Look-up'!$E$4,$V158-4,0))</f>
        <v>CID001993</v>
      </c>
      <c r="G158" s="217" t="str">
        <f ca="1">IF(C158=$X$4,"Enter smelter details",IF(ISERROR($V158),"",OFFSET('Smelter Look-up'!$F$4,$V158-4,0)))</f>
        <v>RMI</v>
      </c>
      <c r="H158" s="218">
        <f ca="1">IF(ISERROR($V158),"",OFFSET('Smelter Look-up'!$G$4,$V158-4,0))</f>
        <v>0</v>
      </c>
      <c r="I158" s="219" t="str">
        <f ca="1">IF(ISERROR($V158),"",OFFSET('Smelter Look-up'!$H$4,$V158-4,0))</f>
        <v>Alden</v>
      </c>
      <c r="J158" s="219" t="str">
        <f ca="1">IF(ISERROR($V158),"",OFFSET('Smelter Look-up'!$I$4,$V158-4,0))</f>
        <v>New York</v>
      </c>
      <c r="K158" s="273"/>
      <c r="L158" s="273"/>
      <c r="M158" s="273"/>
      <c r="N158" s="273"/>
      <c r="O158" s="273"/>
      <c r="P158" s="220"/>
      <c r="Q158" s="274"/>
      <c r="R158" s="217" t="str">
        <f ca="1">IF(ISERROR($V158),"",OFFSET('Smelter Look-up'!$C$4,$V158-4,0)&amp;"")</f>
        <v>United Precious Metal Refining, Inc.</v>
      </c>
      <c r="S158" s="225" t="str">
        <f t="shared" ca="1" si="21"/>
        <v>US</v>
      </c>
      <c r="T158" s="225" t="str">
        <f ca="1">IF(B158="","",IF(ISERROR(MATCH($J158,SorP!$B$1:$B$6230,0)),"",INDIRECT("'SorP'!$A$"&amp;MATCH($J158,SorP!$B$1:$B$6230,0))))</f>
        <v>US-NY</v>
      </c>
      <c r="U158" s="241"/>
      <c r="V158" s="275">
        <f>IF(C158="",NA(),MATCH($B158&amp;$C158,'Smelter Look-up'!$J:$J,0))</f>
        <v>268</v>
      </c>
      <c r="W158" s="276"/>
      <c r="X158" s="276">
        <f t="shared" ca="1" si="22"/>
        <v>0</v>
      </c>
      <c r="Y158" s="276"/>
      <c r="Z158" s="276"/>
      <c r="AB158" s="278" t="str">
        <f t="shared" si="23"/>
        <v>GoldUnited Precious Metal Refining, Inc.</v>
      </c>
    </row>
    <row r="159" spans="1:28" s="277" customFormat="1" ht="27.95" customHeight="1">
      <c r="A159" s="216"/>
      <c r="B159" s="217" t="s">
        <v>1153</v>
      </c>
      <c r="C159" s="221" t="s">
        <v>2460</v>
      </c>
      <c r="D159" s="283"/>
      <c r="E159" s="217" t="str">
        <f ca="1">IF(ISERROR($V159),"",OFFSET('Smelter Look-up'!$D$4,$V159-4,0)&amp;"")</f>
        <v>SWITZERLAND</v>
      </c>
      <c r="F159" s="217" t="str">
        <f ca="1">IF(ISERROR($V159),"",OFFSET('Smelter Look-up'!$E$4,$V159-4,0))</f>
        <v>CID002003</v>
      </c>
      <c r="G159" s="217" t="str">
        <f ca="1">IF(C159=$X$4,"Enter smelter details",IF(ISERROR($V159),"",OFFSET('Smelter Look-up'!$F$4,$V159-4,0)))</f>
        <v>RMI</v>
      </c>
      <c r="H159" s="218">
        <f ca="1">IF(ISERROR($V159),"",OFFSET('Smelter Look-up'!$G$4,$V159-4,0))</f>
        <v>0</v>
      </c>
      <c r="I159" s="219" t="str">
        <f ca="1">IF(ISERROR($V159),"",OFFSET('Smelter Look-up'!$H$4,$V159-4,0))</f>
        <v>Balerna</v>
      </c>
      <c r="J159" s="219" t="str">
        <f ca="1">IF(ISERROR($V159),"",OFFSET('Smelter Look-up'!$I$4,$V159-4,0))</f>
        <v>Ticino</v>
      </c>
      <c r="K159" s="273"/>
      <c r="L159" s="273"/>
      <c r="M159" s="273"/>
      <c r="N159" s="273"/>
      <c r="O159" s="273"/>
      <c r="P159" s="220"/>
      <c r="Q159" s="274"/>
      <c r="R159" s="217" t="str">
        <f ca="1">IF(ISERROR($V159),"",OFFSET('Smelter Look-up'!$C$4,$V159-4,0)&amp;"")</f>
        <v>Valcambi S.A.</v>
      </c>
      <c r="S159" s="225" t="str">
        <f t="shared" ca="1" si="21"/>
        <v>CH</v>
      </c>
      <c r="T159" s="225" t="str">
        <f ca="1">IF(B159="","",IF(ISERROR(MATCH($J159,SorP!$B$1:$B$6230,0)),"",INDIRECT("'SorP'!$A$"&amp;MATCH($J159,SorP!$B$1:$B$6230,0))))</f>
        <v>CH-TI</v>
      </c>
      <c r="U159" s="241"/>
      <c r="V159" s="275">
        <f>IF(C159="",NA(),MATCH($B159&amp;$C159,'Smelter Look-up'!$J:$J,0))</f>
        <v>269</v>
      </c>
      <c r="W159" s="276"/>
      <c r="X159" s="276">
        <f t="shared" ca="1" si="22"/>
        <v>0</v>
      </c>
      <c r="Y159" s="276"/>
      <c r="Z159" s="276"/>
      <c r="AB159" s="278" t="str">
        <f t="shared" si="23"/>
        <v>GoldValcambi S.A.</v>
      </c>
    </row>
    <row r="160" spans="1:28" s="277" customFormat="1" ht="27.95" customHeight="1">
      <c r="A160" s="216"/>
      <c r="B160" s="217" t="s">
        <v>1153</v>
      </c>
      <c r="C160" s="221" t="s">
        <v>2634</v>
      </c>
      <c r="D160" s="283"/>
      <c r="E160" s="217" t="str">
        <f ca="1">IF(ISERROR($V160),"",OFFSET('Smelter Look-up'!$D$4,$V160-4,0)&amp;"")</f>
        <v>AUSTRALIA</v>
      </c>
      <c r="F160" s="217" t="str">
        <f ca="1">IF(ISERROR($V160),"",OFFSET('Smelter Look-up'!$E$4,$V160-4,0))</f>
        <v>CID002030</v>
      </c>
      <c r="G160" s="217" t="str">
        <f ca="1">IF(C160=$X$4,"Enter smelter details",IF(ISERROR($V160),"",OFFSET('Smelter Look-up'!$F$4,$V160-4,0)))</f>
        <v>RMI</v>
      </c>
      <c r="H160" s="218">
        <f ca="1">IF(ISERROR($V160),"",OFFSET('Smelter Look-up'!$G$4,$V160-4,0))</f>
        <v>0</v>
      </c>
      <c r="I160" s="219" t="str">
        <f ca="1">IF(ISERROR($V160),"",OFFSET('Smelter Look-up'!$H$4,$V160-4,0))</f>
        <v>Newburn</v>
      </c>
      <c r="J160" s="219" t="str">
        <f ca="1">IF(ISERROR($V160),"",OFFSET('Smelter Look-up'!$I$4,$V160-4,0))</f>
        <v>Western Australia</v>
      </c>
      <c r="K160" s="273"/>
      <c r="L160" s="273"/>
      <c r="M160" s="273"/>
      <c r="N160" s="273"/>
      <c r="O160" s="273"/>
      <c r="P160" s="220"/>
      <c r="Q160" s="274"/>
      <c r="R160" s="217" t="str">
        <f ca="1">IF(ISERROR($V160),"",OFFSET('Smelter Look-up'!$C$4,$V160-4,0)&amp;"")</f>
        <v>Western Australian Mint (T/a The Perth Mint)</v>
      </c>
      <c r="S160" s="225" t="str">
        <f t="shared" ca="1" si="21"/>
        <v>AU</v>
      </c>
      <c r="T160" s="225" t="str">
        <f ca="1">IF(B160="","",IF(ISERROR(MATCH($J160,SorP!$B$1:$B$6230,0)),"",INDIRECT("'SorP'!$A$"&amp;MATCH($J160,SorP!$B$1:$B$6230,0))))</f>
        <v>AU-WA</v>
      </c>
      <c r="U160" s="241"/>
      <c r="V160" s="275">
        <f>IF(C160="",NA(),MATCH($B160&amp;$C160,'Smelter Look-up'!$J:$J,0))</f>
        <v>270</v>
      </c>
      <c r="W160" s="276"/>
      <c r="X160" s="276">
        <f t="shared" ca="1" si="22"/>
        <v>0</v>
      </c>
      <c r="Y160" s="276"/>
      <c r="Z160" s="276"/>
      <c r="AB160" s="278" t="str">
        <f t="shared" si="23"/>
        <v>GoldWestern Australian Mint (T/a The Perth Mint)</v>
      </c>
    </row>
    <row r="161" spans="1:28" s="277" customFormat="1" ht="27.95" customHeight="1">
      <c r="A161" s="216"/>
      <c r="B161" s="217" t="s">
        <v>1153</v>
      </c>
      <c r="C161" s="221" t="s">
        <v>2312</v>
      </c>
      <c r="D161" s="283"/>
      <c r="E161" s="217" t="str">
        <f ca="1">IF(ISERROR($V161),"",OFFSET('Smelter Look-up'!$D$4,$V161-4,0)&amp;"")</f>
        <v>GERMANY</v>
      </c>
      <c r="F161" s="217" t="str">
        <f ca="1">IF(ISERROR($V161),"",OFFSET('Smelter Look-up'!$E$4,$V161-4,0))</f>
        <v>CID002778</v>
      </c>
      <c r="G161" s="217" t="str">
        <f ca="1">IF(C161=$X$4,"Enter smelter details",IF(ISERROR($V161),"",OFFSET('Smelter Look-up'!$F$4,$V161-4,0)))</f>
        <v>RMI</v>
      </c>
      <c r="H161" s="218">
        <f ca="1">IF(ISERROR($V161),"",OFFSET('Smelter Look-up'!$G$4,$V161-4,0))</f>
        <v>0</v>
      </c>
      <c r="I161" s="219" t="str">
        <f ca="1">IF(ISERROR($V161),"",OFFSET('Smelter Look-up'!$H$4,$V161-4,0))</f>
        <v>Pforzheim</v>
      </c>
      <c r="J161" s="219" t="str">
        <f ca="1">IF(ISERROR($V161),"",OFFSET('Smelter Look-up'!$I$4,$V161-4,0))</f>
        <v>Baden-Württemberg</v>
      </c>
      <c r="K161" s="273"/>
      <c r="L161" s="273"/>
      <c r="M161" s="273"/>
      <c r="N161" s="273"/>
      <c r="O161" s="273"/>
      <c r="P161" s="220"/>
      <c r="Q161" s="274"/>
      <c r="R161" s="217" t="str">
        <f ca="1">IF(ISERROR($V161),"",OFFSET('Smelter Look-up'!$C$4,$V161-4,0)&amp;"")</f>
        <v>WIELAND Edelmetalle GmbH</v>
      </c>
      <c r="S161" s="225" t="str">
        <f t="shared" ca="1" si="21"/>
        <v>DE</v>
      </c>
      <c r="T161" s="225" t="str">
        <f ca="1">IF(B161="","",IF(ISERROR(MATCH($J161,SorP!$B$1:$B$6230,0)),"",INDIRECT("'SorP'!$A$"&amp;MATCH($J161,SorP!$B$1:$B$6230,0))))</f>
        <v>DE-BW</v>
      </c>
      <c r="U161" s="241"/>
      <c r="V161" s="275">
        <f>IF(C161="",NA(),MATCH($B161&amp;$C161,'Smelter Look-up'!$J:$J,0))</f>
        <v>271</v>
      </c>
      <c r="W161" s="276"/>
      <c r="X161" s="276">
        <f t="shared" ca="1" si="22"/>
        <v>0</v>
      </c>
      <c r="Y161" s="276"/>
      <c r="Z161" s="276"/>
      <c r="AB161" s="278" t="str">
        <f t="shared" si="23"/>
        <v>GoldWIELAND Edelmetalle GmbH</v>
      </c>
    </row>
    <row r="162" spans="1:28" s="277" customFormat="1" ht="27.95" customHeight="1">
      <c r="A162" s="216"/>
      <c r="B162" s="217" t="s">
        <v>1153</v>
      </c>
      <c r="C162" s="221" t="s">
        <v>13261</v>
      </c>
      <c r="D162" s="283"/>
      <c r="E162" s="217" t="str">
        <f ca="1">IF(ISERROR($V162),"",OFFSET('Smelter Look-up'!$D$4,$V162-4,0)&amp;"")</f>
        <v>JAPAN</v>
      </c>
      <c r="F162" s="217" t="str">
        <f ca="1">IF(ISERROR($V162),"",OFFSET('Smelter Look-up'!$E$4,$V162-4,0))</f>
        <v>CID002100</v>
      </c>
      <c r="G162" s="217" t="str">
        <f ca="1">IF(C162=$X$4,"Enter smelter details",IF(ISERROR($V162),"",OFFSET('Smelter Look-up'!$F$4,$V162-4,0)))</f>
        <v>RMI</v>
      </c>
      <c r="H162" s="218">
        <f ca="1">IF(ISERROR($V162),"",OFFSET('Smelter Look-up'!$G$4,$V162-4,0))</f>
        <v>0</v>
      </c>
      <c r="I162" s="219" t="str">
        <f ca="1">IF(ISERROR($V162),"",OFFSET('Smelter Look-up'!$H$4,$V162-4,0))</f>
        <v>Konan</v>
      </c>
      <c r="J162" s="219" t="str">
        <f ca="1">IF(ISERROR($V162),"",OFFSET('Smelter Look-up'!$I$4,$V162-4,0))</f>
        <v>Kochi</v>
      </c>
      <c r="K162" s="273"/>
      <c r="L162" s="273"/>
      <c r="M162" s="273"/>
      <c r="N162" s="273"/>
      <c r="O162" s="273"/>
      <c r="P162" s="220"/>
      <c r="Q162" s="274"/>
      <c r="R162" s="217" t="str">
        <f ca="1">IF(ISERROR($V162),"",OFFSET('Smelter Look-up'!$C$4,$V162-4,0)&amp;"")</f>
        <v>Yamakin Co., Ltd.</v>
      </c>
      <c r="S162" s="225" t="str">
        <f t="shared" ca="1" si="21"/>
        <v>JP</v>
      </c>
      <c r="T162" s="225" t="str">
        <f ca="1">IF(B162="","",IF(ISERROR(MATCH($J162,SorP!$B$1:$B$6230,0)),"",INDIRECT("'SorP'!$A$"&amp;MATCH($J162,SorP!$B$1:$B$6230,0))))</f>
        <v>JP-39</v>
      </c>
      <c r="U162" s="241"/>
      <c r="V162" s="275">
        <f>IF(C162="",NA(),MATCH($B162&amp;$C162,'Smelter Look-up'!$J:$J,0))</f>
        <v>275</v>
      </c>
      <c r="W162" s="276"/>
      <c r="X162" s="276">
        <f t="shared" ca="1" si="22"/>
        <v>0</v>
      </c>
      <c r="Y162" s="276"/>
      <c r="Z162" s="276"/>
      <c r="AB162" s="278" t="str">
        <f t="shared" si="23"/>
        <v>GoldYamakin Co., Ltd.</v>
      </c>
    </row>
    <row r="163" spans="1:28" s="277" customFormat="1" ht="27.95" customHeight="1">
      <c r="A163" s="216"/>
      <c r="B163" s="217" t="s">
        <v>1153</v>
      </c>
      <c r="C163" s="221" t="s">
        <v>2272</v>
      </c>
      <c r="D163" s="283"/>
      <c r="E163" s="217" t="str">
        <f ca="1">IF(ISERROR($V163),"",OFFSET('Smelter Look-up'!$D$4,$V163-4,0)&amp;"")</f>
        <v>JAPAN</v>
      </c>
      <c r="F163" s="217" t="str">
        <f ca="1">IF(ISERROR($V163),"",OFFSET('Smelter Look-up'!$E$4,$V163-4,0))</f>
        <v>CID002129</v>
      </c>
      <c r="G163" s="217" t="str">
        <f ca="1">IF(C163=$X$4,"Enter smelter details",IF(ISERROR($V163),"",OFFSET('Smelter Look-up'!$F$4,$V163-4,0)))</f>
        <v>RMI</v>
      </c>
      <c r="H163" s="218">
        <f ca="1">IF(ISERROR($V163),"",OFFSET('Smelter Look-up'!$G$4,$V163-4,0))</f>
        <v>0</v>
      </c>
      <c r="I163" s="219" t="str">
        <f ca="1">IF(ISERROR($V163),"",OFFSET('Smelter Look-up'!$H$4,$V163-4,0))</f>
        <v>Sagamihara</v>
      </c>
      <c r="J163" s="219" t="str">
        <f ca="1">IF(ISERROR($V163),"",OFFSET('Smelter Look-up'!$I$4,$V163-4,0))</f>
        <v>Kanagawa</v>
      </c>
      <c r="K163" s="273"/>
      <c r="L163" s="273"/>
      <c r="M163" s="273"/>
      <c r="N163" s="273"/>
      <c r="O163" s="273"/>
      <c r="P163" s="220"/>
      <c r="Q163" s="274"/>
      <c r="R163" s="217" t="str">
        <f ca="1">IF(ISERROR($V163),"",OFFSET('Smelter Look-up'!$C$4,$V163-4,0)&amp;"")</f>
        <v>Yokohama Metal Co., Ltd.</v>
      </c>
      <c r="S163" s="225" t="str">
        <f t="shared" ca="1" si="21"/>
        <v>JP</v>
      </c>
      <c r="T163" s="225" t="str">
        <f ca="1">IF(B163="","",IF(ISERROR(MATCH($J163,SorP!$B$1:$B$6230,0)),"",INDIRECT("'SorP'!$A$"&amp;MATCH($J163,SorP!$B$1:$B$6230,0))))</f>
        <v>JP-14</v>
      </c>
      <c r="U163" s="241"/>
      <c r="V163" s="275">
        <f>IF(C163="",NA(),MATCH($B163&amp;$C163,'Smelter Look-up'!$J:$J,0))</f>
        <v>280</v>
      </c>
      <c r="W163" s="276"/>
      <c r="X163" s="276">
        <f t="shared" ca="1" si="22"/>
        <v>0</v>
      </c>
      <c r="Y163" s="276"/>
      <c r="Z163" s="276"/>
      <c r="AB163" s="278" t="str">
        <f t="shared" si="23"/>
        <v>GoldYokohama Metal Co., Ltd.</v>
      </c>
    </row>
    <row r="164" spans="1:28" s="277" customFormat="1" ht="27.95" customHeight="1">
      <c r="A164" s="216"/>
      <c r="B164" s="217" t="s">
        <v>1153</v>
      </c>
      <c r="C164" s="221" t="s">
        <v>2246</v>
      </c>
      <c r="D164" s="283"/>
      <c r="E164" s="217" t="str">
        <f ca="1">IF(ISERROR($V164),"",OFFSET('Smelter Look-up'!$D$4,$V164-4,0)&amp;"")</f>
        <v>CHINA</v>
      </c>
      <c r="F164" s="217" t="str">
        <f ca="1">IF(ISERROR($V164),"",OFFSET('Smelter Look-up'!$E$4,$V164-4,0))</f>
        <v>CID000197</v>
      </c>
      <c r="G164" s="217" t="str">
        <f ca="1">IF(C164=$X$4,"Enter smelter details",IF(ISERROR($V164),"",OFFSET('Smelter Look-up'!$F$4,$V164-4,0)))</f>
        <v>RMI</v>
      </c>
      <c r="H164" s="218">
        <f ca="1">IF(ISERROR($V164),"",OFFSET('Smelter Look-up'!$G$4,$V164-4,0))</f>
        <v>0</v>
      </c>
      <c r="I164" s="219" t="str">
        <f ca="1">IF(ISERROR($V164),"",OFFSET('Smelter Look-up'!$H$4,$V164-4,0))</f>
        <v>Kunming</v>
      </c>
      <c r="J164" s="219" t="str">
        <f ca="1">IF(ISERROR($V164),"",OFFSET('Smelter Look-up'!$I$4,$V164-4,0))</f>
        <v>Yunnan Sheng</v>
      </c>
      <c r="K164" s="273"/>
      <c r="L164" s="273"/>
      <c r="M164" s="273"/>
      <c r="N164" s="273"/>
      <c r="O164" s="273"/>
      <c r="P164" s="220"/>
      <c r="Q164" s="274"/>
      <c r="R164" s="217" t="str">
        <f ca="1">IF(ISERROR($V164),"",OFFSET('Smelter Look-up'!$C$4,$V164-4,0)&amp;"")</f>
        <v>Yunnan Copper Industry Co., Ltd.</v>
      </c>
      <c r="S164" s="225" t="str">
        <f t="shared" ca="1" si="21"/>
        <v>CN</v>
      </c>
      <c r="T164" s="225" t="str">
        <f ca="1">IF(B164="","",IF(ISERROR(MATCH($J164,SorP!$B$1:$B$6230,0)),"",INDIRECT("'SorP'!$A$"&amp;MATCH($J164,SorP!$B$1:$B$6230,0))))</f>
        <v>CN-YN</v>
      </c>
      <c r="U164" s="241"/>
      <c r="V164" s="275">
        <f>IF(C164="",NA(),MATCH($B164&amp;$C164,'Smelter Look-up'!$J:$J,0))</f>
        <v>281</v>
      </c>
      <c r="W164" s="276"/>
      <c r="X164" s="276">
        <f t="shared" ca="1" si="22"/>
        <v>0</v>
      </c>
      <c r="Y164" s="276"/>
      <c r="Z164" s="276"/>
      <c r="AB164" s="278" t="str">
        <f t="shared" si="23"/>
        <v>GoldYunnan Copper Industry Co., Ltd.</v>
      </c>
    </row>
    <row r="165" spans="1:28" s="277" customFormat="1" ht="27.95" customHeight="1">
      <c r="A165" s="216"/>
      <c r="B165" s="217" t="s">
        <v>1153</v>
      </c>
      <c r="C165" s="221" t="s">
        <v>1898</v>
      </c>
      <c r="D165" s="221" t="s">
        <v>15512</v>
      </c>
      <c r="E165" s="217" t="s">
        <v>1123</v>
      </c>
      <c r="F165" s="217" t="s">
        <v>15519</v>
      </c>
      <c r="G165" s="217"/>
      <c r="H165" s="218">
        <f ca="1">IF(ISERROR($V165),"",OFFSET('Smelter Look-up'!$G$4,$V165-4,0))</f>
        <v>0</v>
      </c>
      <c r="I165" s="219">
        <f ca="1">IF(ISERROR($V165),"",OFFSET('Smelter Look-up'!$H$4,$V165-4,0))</f>
        <v>0</v>
      </c>
      <c r="J165" s="219">
        <f ca="1">IF(ISERROR($V165),"",OFFSET('Smelter Look-up'!$I$4,$V165-4,0))</f>
        <v>0</v>
      </c>
      <c r="K165" s="273"/>
      <c r="L165" s="273"/>
      <c r="M165" s="273"/>
      <c r="N165" s="273"/>
      <c r="O165" s="273"/>
      <c r="P165" s="220"/>
      <c r="Q165" s="274"/>
      <c r="R165" s="217" t="str">
        <f ca="1">IF(ISERROR($V165),"",OFFSET('Smelter Look-up'!$C$4,$V165-4,0)&amp;"")</f>
        <v/>
      </c>
      <c r="S165" s="225" t="str">
        <f t="shared" ca="1" si="21"/>
        <v>CN</v>
      </c>
      <c r="T165" s="225" t="str">
        <f ca="1">IF(B165="","",IF(ISERROR(MATCH($J165,SorP!$B$1:$B$6230,0)),"",INDIRECT("'SorP'!$A$"&amp;MATCH($J165,SorP!$B$1:$B$6230,0))))</f>
        <v/>
      </c>
      <c r="U165" s="241"/>
      <c r="V165" s="275">
        <f>IF(C165="",NA(),MATCH($B165&amp;$C165,'Smelter Look-up'!$J:$J,0))</f>
        <v>293</v>
      </c>
      <c r="W165" s="276"/>
      <c r="X165" s="276">
        <f t="shared" si="22"/>
        <v>0</v>
      </c>
      <c r="Y165" s="276"/>
      <c r="Z165" s="276"/>
      <c r="AB165" s="278" t="str">
        <f t="shared" si="23"/>
        <v>GoldSmelter not listed</v>
      </c>
    </row>
    <row r="166" spans="1:28" s="277" customFormat="1" ht="27.95" customHeight="1">
      <c r="A166" s="216"/>
      <c r="B166" s="217" t="s">
        <v>1153</v>
      </c>
      <c r="C166" s="221" t="s">
        <v>1348</v>
      </c>
      <c r="D166" s="283"/>
      <c r="E166" s="217" t="str">
        <f ca="1">IF(ISERROR($V166),"",OFFSET('Smelter Look-up'!$D$4,$V166-4,0)&amp;"")</f>
        <v>CHINA</v>
      </c>
      <c r="F166" s="217" t="str">
        <f ca="1">IF(ISERROR($V166),"",OFFSET('Smelter Look-up'!$E$4,$V166-4,0))</f>
        <v>CID002224</v>
      </c>
      <c r="G166" s="217" t="str">
        <f ca="1">IF(C166=$X$4,"Enter smelter details",IF(ISERROR($V166),"",OFFSET('Smelter Look-up'!$F$4,$V166-4,0)))</f>
        <v>RMI</v>
      </c>
      <c r="H166" s="218">
        <f ca="1">IF(ISERROR($V166),"",OFFSET('Smelter Look-up'!$G$4,$V166-4,0))</f>
        <v>0</v>
      </c>
      <c r="I166" s="219" t="str">
        <f ca="1">IF(ISERROR($V166),"",OFFSET('Smelter Look-up'!$H$4,$V166-4,0))</f>
        <v>Sanmenxia</v>
      </c>
      <c r="J166" s="219" t="str">
        <f ca="1">IF(ISERROR($V166),"",OFFSET('Smelter Look-up'!$I$4,$V166-4,0))</f>
        <v>Henan Sheng</v>
      </c>
      <c r="K166" s="273"/>
      <c r="L166" s="273"/>
      <c r="M166" s="273"/>
      <c r="N166" s="273"/>
      <c r="O166" s="273"/>
      <c r="P166" s="220"/>
      <c r="Q166" s="274"/>
      <c r="R166" s="217" t="str">
        <f ca="1">IF(ISERROR($V166),"",OFFSET('Smelter Look-up'!$C$4,$V166-4,0)&amp;"")</f>
        <v>Zhongyuan Gold Smelter of Zhongjin Gold Corporation</v>
      </c>
      <c r="S166" s="225" t="str">
        <f t="shared" ref="S166:S196" ca="1" si="24">IF(B166="","",IF(ISERROR(MATCH($E166,CL,0)),"Unknown",INDIRECT("'C'!$A$"&amp;MATCH($E166,CL,0)+1)))</f>
        <v>CN</v>
      </c>
      <c r="T166" s="225" t="str">
        <f ca="1">IF(B166="","",IF(ISERROR(MATCH($J166,SorP!$B$1:$B$6230,0)),"",INDIRECT("'SorP'!$A$"&amp;MATCH($J166,SorP!$B$1:$B$6230,0))))</f>
        <v>CN-HA</v>
      </c>
      <c r="U166" s="241"/>
      <c r="V166" s="275">
        <f>IF(C166="",NA(),MATCH($B166&amp;$C166,'Smelter Look-up'!$J:$J,0))</f>
        <v>290</v>
      </c>
      <c r="W166" s="276"/>
      <c r="X166" s="276">
        <f t="shared" ref="X166:X196" ca="1" si="25">IF(AND(C166="Smelter not listed",OR(LEN(D166)=0,LEN(E166)=0)),1,0)</f>
        <v>0</v>
      </c>
      <c r="Y166" s="276"/>
      <c r="Z166" s="276"/>
      <c r="AB166" s="278" t="str">
        <f t="shared" ref="AB166:AB196" si="26">B166&amp;C166</f>
        <v>GoldZhongyuan Gold Smelter of Zhongjin Gold Corporation</v>
      </c>
    </row>
    <row r="167" spans="1:28" s="277" customFormat="1" ht="27.95" customHeight="1">
      <c r="A167" s="216"/>
      <c r="B167" s="217" t="s">
        <v>1155</v>
      </c>
      <c r="C167" s="221" t="s">
        <v>2245</v>
      </c>
      <c r="D167" s="283"/>
      <c r="E167" s="217" t="str">
        <f ca="1">IF(ISERROR($V167),"",OFFSET('Smelter Look-up'!$D$4,$V167-4,0)&amp;"")</f>
        <v>JAPAN</v>
      </c>
      <c r="F167" s="217" t="str">
        <f ca="1">IF(ISERROR($V167),"",OFFSET('Smelter Look-up'!$E$4,$V167-4,0))</f>
        <v>CID000092</v>
      </c>
      <c r="G167" s="217" t="str">
        <f ca="1">IF(C167=$X$4,"Enter smelter details",IF(ISERROR($V167),"",OFFSET('Smelter Look-up'!$F$4,$V167-4,0)))</f>
        <v>RMI</v>
      </c>
      <c r="H167" s="218">
        <f ca="1">IF(ISERROR($V167),"",OFFSET('Smelter Look-up'!$G$4,$V167-4,0))</f>
        <v>0</v>
      </c>
      <c r="I167" s="219" t="str">
        <f ca="1">IF(ISERROR($V167),"",OFFSET('Smelter Look-up'!$H$4,$V167-4,0))</f>
        <v>Tamura</v>
      </c>
      <c r="J167" s="219" t="str">
        <f ca="1">IF(ISERROR($V167),"",OFFSET('Smelter Look-up'!$I$4,$V167-4,0))</f>
        <v>Fukushima</v>
      </c>
      <c r="K167" s="273"/>
      <c r="L167" s="273"/>
      <c r="M167" s="273"/>
      <c r="N167" s="273"/>
      <c r="O167" s="273"/>
      <c r="P167" s="220"/>
      <c r="Q167" s="274"/>
      <c r="R167" s="217" t="str">
        <f ca="1">IF(ISERROR($V167),"",OFFSET('Smelter Look-up'!$C$4,$V167-4,0)&amp;"")</f>
        <v>Asaka Riken Co., Ltd.</v>
      </c>
      <c r="S167" s="225" t="str">
        <f t="shared" ca="1" si="24"/>
        <v>JP</v>
      </c>
      <c r="T167" s="225" t="str">
        <f ca="1">IF(B167="","",IF(ISERROR(MATCH($J167,SorP!$B$1:$B$6230,0)),"",INDIRECT("'SorP'!$A$"&amp;MATCH($J167,SorP!$B$1:$B$6230,0))))</f>
        <v>JP-07</v>
      </c>
      <c r="U167" s="241"/>
      <c r="V167" s="275">
        <f>IF(C167="",NA(),MATCH($B167&amp;$C167,'Smelter Look-up'!$J:$J,0))</f>
        <v>295</v>
      </c>
      <c r="W167" s="276"/>
      <c r="X167" s="276">
        <f t="shared" ca="1" si="25"/>
        <v>0</v>
      </c>
      <c r="Y167" s="276"/>
      <c r="Z167" s="276"/>
      <c r="AB167" s="278" t="str">
        <f t="shared" si="26"/>
        <v>TantalumAsaka Riken Co., Ltd.</v>
      </c>
    </row>
    <row r="168" spans="1:28" s="277" customFormat="1" ht="27.95" customHeight="1">
      <c r="A168" s="216"/>
      <c r="B168" s="217" t="s">
        <v>1155</v>
      </c>
      <c r="C168" s="221" t="s">
        <v>3</v>
      </c>
      <c r="D168" s="283"/>
      <c r="E168" s="217" t="str">
        <f ca="1">IF(ISERROR($V168),"",OFFSET('Smelter Look-up'!$D$4,$V168-4,0)&amp;"")</f>
        <v>CHINA</v>
      </c>
      <c r="F168" s="217" t="str">
        <f ca="1">IF(ISERROR($V168),"",OFFSET('Smelter Look-up'!$E$4,$V168-4,0))</f>
        <v>CID000211</v>
      </c>
      <c r="G168" s="217" t="str">
        <f ca="1">IF(C168=$X$4,"Enter smelter details",IF(ISERROR($V168),"",OFFSET('Smelter Look-up'!$F$4,$V168-4,0)))</f>
        <v>RMI</v>
      </c>
      <c r="H168" s="218">
        <f ca="1">IF(ISERROR($V168),"",OFFSET('Smelter Look-up'!$G$4,$V168-4,0))</f>
        <v>0</v>
      </c>
      <c r="I168" s="219" t="str">
        <f ca="1">IF(ISERROR($V168),"",OFFSET('Smelter Look-up'!$H$4,$V168-4,0))</f>
        <v>Changsha</v>
      </c>
      <c r="J168" s="219" t="str">
        <f ca="1">IF(ISERROR($V168),"",OFFSET('Smelter Look-up'!$I$4,$V168-4,0))</f>
        <v>Hunan Sheng</v>
      </c>
      <c r="K168" s="273"/>
      <c r="L168" s="273"/>
      <c r="M168" s="273"/>
      <c r="N168" s="273"/>
      <c r="O168" s="273"/>
      <c r="P168" s="220"/>
      <c r="Q168" s="274"/>
      <c r="R168" s="217" t="str">
        <f ca="1">IF(ISERROR($V168),"",OFFSET('Smelter Look-up'!$C$4,$V168-4,0)&amp;"")</f>
        <v>Changsha South Tantalum Niobium Co., Ltd.</v>
      </c>
      <c r="S168" s="225" t="str">
        <f t="shared" ca="1" si="24"/>
        <v>CN</v>
      </c>
      <c r="T168" s="225" t="str">
        <f ca="1">IF(B168="","",IF(ISERROR(MATCH($J168,SorP!$B$1:$B$6230,0)),"",INDIRECT("'SorP'!$A$"&amp;MATCH($J168,SorP!$B$1:$B$6230,0))))</f>
        <v>CN-HN</v>
      </c>
      <c r="U168" s="241"/>
      <c r="V168" s="275">
        <f>IF(C168="",NA(),MATCH($B168&amp;$C168,'Smelter Look-up'!$J:$J,0))</f>
        <v>296</v>
      </c>
      <c r="W168" s="276"/>
      <c r="X168" s="276">
        <f t="shared" ca="1" si="25"/>
        <v>0</v>
      </c>
      <c r="Y168" s="276"/>
      <c r="Z168" s="276"/>
      <c r="AB168" s="278" t="str">
        <f t="shared" si="26"/>
        <v>TantalumChangsha South Tantalum Niobium Co., Ltd.</v>
      </c>
    </row>
    <row r="169" spans="1:28" s="277" customFormat="1" ht="27.95" customHeight="1">
      <c r="A169" s="216"/>
      <c r="B169" s="217" t="s">
        <v>1155</v>
      </c>
      <c r="C169" s="221" t="s">
        <v>1418</v>
      </c>
      <c r="D169" s="283"/>
      <c r="E169" s="217" t="str">
        <f ca="1">IF(ISERROR($V169),"",OFFSET('Smelter Look-up'!$D$4,$V169-4,0)&amp;"")</f>
        <v>UNITED STATES OF AMERICA</v>
      </c>
      <c r="F169" s="217" t="str">
        <f ca="1">IF(ISERROR($V169),"",OFFSET('Smelter Look-up'!$E$4,$V169-4,0))</f>
        <v>CID002504</v>
      </c>
      <c r="G169" s="217" t="str">
        <f ca="1">IF(C169=$X$4,"Enter smelter details",IF(ISERROR($V169),"",OFFSET('Smelter Look-up'!$F$4,$V169-4,0)))</f>
        <v>RMI</v>
      </c>
      <c r="H169" s="218">
        <f ca="1">IF(ISERROR($V169),"",OFFSET('Smelter Look-up'!$G$4,$V169-4,0))</f>
        <v>0</v>
      </c>
      <c r="I169" s="219" t="str">
        <f ca="1">IF(ISERROR($V169),"",OFFSET('Smelter Look-up'!$H$4,$V169-4,0))</f>
        <v>Gastonia</v>
      </c>
      <c r="J169" s="219" t="str">
        <f ca="1">IF(ISERROR($V169),"",OFFSET('Smelter Look-up'!$I$4,$V169-4,0))</f>
        <v>North Carolina</v>
      </c>
      <c r="K169" s="273"/>
      <c r="L169" s="273"/>
      <c r="M169" s="273"/>
      <c r="N169" s="273"/>
      <c r="O169" s="273"/>
      <c r="P169" s="220"/>
      <c r="Q169" s="274"/>
      <c r="R169" s="217" t="str">
        <f ca="1">IF(ISERROR($V169),"",OFFSET('Smelter Look-up'!$C$4,$V169-4,0)&amp;"")</f>
        <v>D Block Metals, LLC</v>
      </c>
      <c r="S169" s="225" t="str">
        <f t="shared" ca="1" si="24"/>
        <v>US</v>
      </c>
      <c r="T169" s="225" t="str">
        <f ca="1">IF(B169="","",IF(ISERROR(MATCH($J169,SorP!$B$1:$B$6230,0)),"",INDIRECT("'SorP'!$A$"&amp;MATCH($J169,SorP!$B$1:$B$6230,0))))</f>
        <v>US-NC</v>
      </c>
      <c r="U169" s="241"/>
      <c r="V169" s="275">
        <f>IF(C169="",NA(),MATCH($B169&amp;$C169,'Smelter Look-up'!$J:$J,0))</f>
        <v>299</v>
      </c>
      <c r="W169" s="276"/>
      <c r="X169" s="276">
        <f t="shared" ca="1" si="25"/>
        <v>0</v>
      </c>
      <c r="Y169" s="276"/>
      <c r="Z169" s="276"/>
      <c r="AB169" s="278" t="str">
        <f t="shared" si="26"/>
        <v>TantalumD Block Metals, LLC</v>
      </c>
    </row>
    <row r="170" spans="1:28" s="277" customFormat="1" ht="27.95" customHeight="1">
      <c r="A170" s="216"/>
      <c r="B170" s="217" t="s">
        <v>1155</v>
      </c>
      <c r="C170" s="221" t="s">
        <v>1141</v>
      </c>
      <c r="D170" s="283"/>
      <c r="E170" s="217" t="str">
        <f ca="1">IF(ISERROR($V170),"",OFFSET('Smelter Look-up'!$D$4,$V170-4,0)&amp;"")</f>
        <v>UNITED STATES OF AMERICA</v>
      </c>
      <c r="F170" s="217" t="str">
        <f ca="1">IF(ISERROR($V170),"",OFFSET('Smelter Look-up'!$E$4,$V170-4,0))</f>
        <v>CID000456</v>
      </c>
      <c r="G170" s="217" t="str">
        <f ca="1">IF(C170=$X$4,"Enter smelter details",IF(ISERROR($V170),"",OFFSET('Smelter Look-up'!$F$4,$V170-4,0)))</f>
        <v>RMI</v>
      </c>
      <c r="H170" s="218">
        <f ca="1">IF(ISERROR($V170),"",OFFSET('Smelter Look-up'!$G$4,$V170-4,0))</f>
        <v>0</v>
      </c>
      <c r="I170" s="219" t="str">
        <f ca="1">IF(ISERROR($V170),"",OFFSET('Smelter Look-up'!$H$4,$V170-4,0))</f>
        <v>Pompano Beach</v>
      </c>
      <c r="J170" s="219" t="str">
        <f ca="1">IF(ISERROR($V170),"",OFFSET('Smelter Look-up'!$I$4,$V170-4,0))</f>
        <v>Florida</v>
      </c>
      <c r="K170" s="273"/>
      <c r="L170" s="273"/>
      <c r="M170" s="273"/>
      <c r="N170" s="273"/>
      <c r="O170" s="273"/>
      <c r="P170" s="220"/>
      <c r="Q170" s="274"/>
      <c r="R170" s="217" t="str">
        <f ca="1">IF(ISERROR($V170),"",OFFSET('Smelter Look-up'!$C$4,$V170-4,0)&amp;"")</f>
        <v>Exotech Inc.</v>
      </c>
      <c r="S170" s="225" t="str">
        <f t="shared" ca="1" si="24"/>
        <v>US</v>
      </c>
      <c r="T170" s="225" t="str">
        <f ca="1">IF(B170="","",IF(ISERROR(MATCH($J170,SorP!$B$1:$B$6230,0)),"",INDIRECT("'SorP'!$A$"&amp;MATCH($J170,SorP!$B$1:$B$6230,0))))</f>
        <v>US-FL</v>
      </c>
      <c r="U170" s="241"/>
      <c r="V170" s="275">
        <f>IF(C170="",NA(),MATCH($B170&amp;$C170,'Smelter Look-up'!$J:$J,0))</f>
        <v>300</v>
      </c>
      <c r="W170" s="276"/>
      <c r="X170" s="276">
        <f t="shared" ca="1" si="25"/>
        <v>0</v>
      </c>
      <c r="Y170" s="276"/>
      <c r="Z170" s="276"/>
      <c r="AB170" s="278" t="str">
        <f t="shared" si="26"/>
        <v>TantalumExotech Inc.</v>
      </c>
    </row>
    <row r="171" spans="1:28" s="277" customFormat="1" ht="27.95" customHeight="1">
      <c r="A171" s="216"/>
      <c r="B171" s="217" t="s">
        <v>1155</v>
      </c>
      <c r="C171" s="221" t="s">
        <v>47</v>
      </c>
      <c r="D171" s="283"/>
      <c r="E171" s="217" t="str">
        <f ca="1">IF(ISERROR($V171),"",OFFSET('Smelter Look-up'!$D$4,$V171-4,0)&amp;"")</f>
        <v>CHINA</v>
      </c>
      <c r="F171" s="217" t="str">
        <f ca="1">IF(ISERROR($V171),"",OFFSET('Smelter Look-up'!$E$4,$V171-4,0))</f>
        <v>CID000460</v>
      </c>
      <c r="G171" s="217" t="str">
        <f ca="1">IF(C171=$X$4,"Enter smelter details",IF(ISERROR($V171),"",OFFSET('Smelter Look-up'!$F$4,$V171-4,0)))</f>
        <v>RMI</v>
      </c>
      <c r="H171" s="218">
        <f ca="1">IF(ISERROR($V171),"",OFFSET('Smelter Look-up'!$G$4,$V171-4,0))</f>
        <v>0</v>
      </c>
      <c r="I171" s="219" t="str">
        <f ca="1">IF(ISERROR($V171),"",OFFSET('Smelter Look-up'!$H$4,$V171-4,0))</f>
        <v>Jiangmen</v>
      </c>
      <c r="J171" s="219" t="str">
        <f ca="1">IF(ISERROR($V171),"",OFFSET('Smelter Look-up'!$I$4,$V171-4,0))</f>
        <v>Guangdong Sheng</v>
      </c>
      <c r="K171" s="273"/>
      <c r="L171" s="273"/>
      <c r="M171" s="273"/>
      <c r="N171" s="273"/>
      <c r="O171" s="273"/>
      <c r="P171" s="220"/>
      <c r="Q171" s="274"/>
      <c r="R171" s="217" t="str">
        <f ca="1">IF(ISERROR($V171),"",OFFSET('Smelter Look-up'!$C$4,$V171-4,0)&amp;"")</f>
        <v>F&amp;X Electro-Materials Ltd.</v>
      </c>
      <c r="S171" s="225" t="str">
        <f t="shared" ca="1" si="24"/>
        <v>CN</v>
      </c>
      <c r="T171" s="225" t="str">
        <f ca="1">IF(B171="","",IF(ISERROR(MATCH($J171,SorP!$B$1:$B$6230,0)),"",INDIRECT("'SorP'!$A$"&amp;MATCH($J171,SorP!$B$1:$B$6230,0))))</f>
        <v>CN-GD</v>
      </c>
      <c r="U171" s="241"/>
      <c r="V171" s="275">
        <f>IF(C171="",NA(),MATCH($B171&amp;$C171,'Smelter Look-up'!$J:$J,0))</f>
        <v>302</v>
      </c>
      <c r="W171" s="276"/>
      <c r="X171" s="276">
        <f t="shared" ca="1" si="25"/>
        <v>0</v>
      </c>
      <c r="Y171" s="276"/>
      <c r="Z171" s="276"/>
      <c r="AB171" s="278" t="str">
        <f t="shared" si="26"/>
        <v>TantalumF&amp;X Electro-Materials Ltd.</v>
      </c>
    </row>
    <row r="172" spans="1:28" s="277" customFormat="1" ht="27.95" customHeight="1">
      <c r="A172" s="216"/>
      <c r="B172" s="217" t="s">
        <v>1155</v>
      </c>
      <c r="C172" s="221" t="s">
        <v>2275</v>
      </c>
      <c r="D172" s="283"/>
      <c r="E172" s="217" t="str">
        <f ca="1">IF(ISERROR($V172),"",OFFSET('Smelter Look-up'!$D$4,$V172-4,0)&amp;"")</f>
        <v>CHINA</v>
      </c>
      <c r="F172" s="217" t="str">
        <f ca="1">IF(ISERROR($V172),"",OFFSET('Smelter Look-up'!$E$4,$V172-4,0))</f>
        <v>CID002505</v>
      </c>
      <c r="G172" s="217" t="str">
        <f ca="1">IF(C172=$X$4,"Enter smelter details",IF(ISERROR($V172),"",OFFSET('Smelter Look-up'!$F$4,$V172-4,0)))</f>
        <v>RMI</v>
      </c>
      <c r="H172" s="218">
        <f ca="1">IF(ISERROR($V172),"",OFFSET('Smelter Look-up'!$G$4,$V172-4,0))</f>
        <v>0</v>
      </c>
      <c r="I172" s="219" t="str">
        <f ca="1">IF(ISERROR($V172),"",OFFSET('Smelter Look-up'!$H$4,$V172-4,0))</f>
        <v>Zhuzhou</v>
      </c>
      <c r="J172" s="219" t="str">
        <f ca="1">IF(ISERROR($V172),"",OFFSET('Smelter Look-up'!$I$4,$V172-4,0))</f>
        <v>Hunan Sheng</v>
      </c>
      <c r="K172" s="273"/>
      <c r="L172" s="273"/>
      <c r="M172" s="273"/>
      <c r="N172" s="273"/>
      <c r="O172" s="273"/>
      <c r="P172" s="220"/>
      <c r="Q172" s="274"/>
      <c r="R172" s="217" t="str">
        <f ca="1">IF(ISERROR($V172),"",OFFSET('Smelter Look-up'!$C$4,$V172-4,0)&amp;"")</f>
        <v>FIR Metals &amp; Resource Ltd.</v>
      </c>
      <c r="S172" s="225" t="str">
        <f t="shared" ca="1" si="24"/>
        <v>CN</v>
      </c>
      <c r="T172" s="225" t="str">
        <f ca="1">IF(B172="","",IF(ISERROR(MATCH($J172,SorP!$B$1:$B$6230,0)),"",INDIRECT("'SorP'!$A$"&amp;MATCH($J172,SorP!$B$1:$B$6230,0))))</f>
        <v>CN-HN</v>
      </c>
      <c r="U172" s="241"/>
      <c r="V172" s="275">
        <f>IF(C172="",NA(),MATCH($B172&amp;$C172,'Smelter Look-up'!$J:$J,0))</f>
        <v>303</v>
      </c>
      <c r="W172" s="276"/>
      <c r="X172" s="276">
        <f t="shared" ca="1" si="25"/>
        <v>0</v>
      </c>
      <c r="Y172" s="276"/>
      <c r="Z172" s="276"/>
      <c r="AB172" s="278" t="str">
        <f t="shared" si="26"/>
        <v>TantalumFIR Metals &amp; Resource Ltd.</v>
      </c>
    </row>
    <row r="173" spans="1:28" s="277" customFormat="1" ht="27.95" customHeight="1">
      <c r="A173" s="216"/>
      <c r="B173" s="217" t="s">
        <v>1155</v>
      </c>
      <c r="C173" s="221" t="s">
        <v>1434</v>
      </c>
      <c r="D173" s="283"/>
      <c r="E173" s="217" t="str">
        <f ca="1">IF(ISERROR($V173),"",OFFSET('Smelter Look-up'!$D$4,$V173-4,0)&amp;"")</f>
        <v>JAPAN</v>
      </c>
      <c r="F173" s="217" t="str">
        <f ca="1">IF(ISERROR($V173),"",OFFSET('Smelter Look-up'!$E$4,$V173-4,0))</f>
        <v>CID002558</v>
      </c>
      <c r="G173" s="217" t="str">
        <f ca="1">IF(C173=$X$4,"Enter smelter details",IF(ISERROR($V173),"",OFFSET('Smelter Look-up'!$F$4,$V173-4,0)))</f>
        <v>RMI</v>
      </c>
      <c r="H173" s="218">
        <f ca="1">IF(ISERROR($V173),"",OFFSET('Smelter Look-up'!$G$4,$V173-4,0))</f>
        <v>0</v>
      </c>
      <c r="I173" s="219" t="str">
        <f ca="1">IF(ISERROR($V173),"",OFFSET('Smelter Look-up'!$H$4,$V173-4,0))</f>
        <v>Aizuwakamatsu</v>
      </c>
      <c r="J173" s="219" t="str">
        <f ca="1">IF(ISERROR($V173),"",OFFSET('Smelter Look-up'!$I$4,$V173-4,0))</f>
        <v>Fukushima</v>
      </c>
      <c r="K173" s="273"/>
      <c r="L173" s="273"/>
      <c r="M173" s="273"/>
      <c r="N173" s="273"/>
      <c r="O173" s="273"/>
      <c r="P173" s="220"/>
      <c r="Q173" s="274"/>
      <c r="R173" s="217" t="str">
        <f ca="1">IF(ISERROR($V173),"",OFFSET('Smelter Look-up'!$C$4,$V173-4,0)&amp;"")</f>
        <v>Global Advanced Metals Aizu</v>
      </c>
      <c r="S173" s="225" t="str">
        <f t="shared" ca="1" si="24"/>
        <v>JP</v>
      </c>
      <c r="T173" s="225" t="str">
        <f ca="1">IF(B173="","",IF(ISERROR(MATCH($J173,SorP!$B$1:$B$6230,0)),"",INDIRECT("'SorP'!$A$"&amp;MATCH($J173,SorP!$B$1:$B$6230,0))))</f>
        <v>JP-07</v>
      </c>
      <c r="U173" s="241"/>
      <c r="V173" s="275">
        <f>IF(C173="",NA(),MATCH($B173&amp;$C173,'Smelter Look-up'!$J:$J,0))</f>
        <v>304</v>
      </c>
      <c r="W173" s="276"/>
      <c r="X173" s="276">
        <f t="shared" ca="1" si="25"/>
        <v>0</v>
      </c>
      <c r="Y173" s="276"/>
      <c r="Z173" s="276"/>
      <c r="AB173" s="278" t="str">
        <f t="shared" si="26"/>
        <v>TantalumGlobal Advanced Metals Aizu</v>
      </c>
    </row>
    <row r="174" spans="1:28" s="277" customFormat="1" ht="27.95" customHeight="1">
      <c r="A174" s="216"/>
      <c r="B174" s="217" t="s">
        <v>1155</v>
      </c>
      <c r="C174" s="221" t="s">
        <v>1436</v>
      </c>
      <c r="D174" s="283"/>
      <c r="E174" s="217" t="str">
        <f ca="1">IF(ISERROR($V174),"",OFFSET('Smelter Look-up'!$D$4,$V174-4,0)&amp;"")</f>
        <v>UNITED STATES OF AMERICA</v>
      </c>
      <c r="F174" s="217" t="str">
        <f ca="1">IF(ISERROR($V174),"",OFFSET('Smelter Look-up'!$E$4,$V174-4,0))</f>
        <v>CID002557</v>
      </c>
      <c r="G174" s="217" t="str">
        <f ca="1">IF(C174=$X$4,"Enter smelter details",IF(ISERROR($V174),"",OFFSET('Smelter Look-up'!$F$4,$V174-4,0)))</f>
        <v>RMI</v>
      </c>
      <c r="H174" s="218">
        <f ca="1">IF(ISERROR($V174),"",OFFSET('Smelter Look-up'!$G$4,$V174-4,0))</f>
        <v>0</v>
      </c>
      <c r="I174" s="219" t="str">
        <f ca="1">IF(ISERROR($V174),"",OFFSET('Smelter Look-up'!$H$4,$V174-4,0))</f>
        <v>Boyertown</v>
      </c>
      <c r="J174" s="219" t="str">
        <f ca="1">IF(ISERROR($V174),"",OFFSET('Smelter Look-up'!$I$4,$V174-4,0))</f>
        <v>Pennsylvania</v>
      </c>
      <c r="K174" s="273"/>
      <c r="L174" s="273"/>
      <c r="M174" s="273"/>
      <c r="N174" s="273"/>
      <c r="O174" s="273"/>
      <c r="P174" s="220"/>
      <c r="Q174" s="274"/>
      <c r="R174" s="217" t="str">
        <f ca="1">IF(ISERROR($V174),"",OFFSET('Smelter Look-up'!$C$4,$V174-4,0)&amp;"")</f>
        <v>Global Advanced Metals Boyertown</v>
      </c>
      <c r="S174" s="225" t="str">
        <f t="shared" ca="1" si="24"/>
        <v>US</v>
      </c>
      <c r="T174" s="225" t="str">
        <f ca="1">IF(B174="","",IF(ISERROR(MATCH($J174,SorP!$B$1:$B$6230,0)),"",INDIRECT("'SorP'!$A$"&amp;MATCH($J174,SorP!$B$1:$B$6230,0))))</f>
        <v>US-PA</v>
      </c>
      <c r="U174" s="241"/>
      <c r="V174" s="275">
        <f>IF(C174="",NA(),MATCH($B174&amp;$C174,'Smelter Look-up'!$J:$J,0))</f>
        <v>305</v>
      </c>
      <c r="W174" s="276"/>
      <c r="X174" s="276">
        <f t="shared" ca="1" si="25"/>
        <v>0</v>
      </c>
      <c r="Y174" s="276"/>
      <c r="Z174" s="276"/>
      <c r="AB174" s="278" t="str">
        <f t="shared" si="26"/>
        <v>TantalumGlobal Advanced Metals Boyertown</v>
      </c>
    </row>
    <row r="175" spans="1:28" s="277" customFormat="1" ht="27.95" customHeight="1">
      <c r="A175" s="216"/>
      <c r="B175" s="217" t="s">
        <v>1155</v>
      </c>
      <c r="C175" s="221" t="s">
        <v>767</v>
      </c>
      <c r="D175" s="283"/>
      <c r="E175" s="217" t="str">
        <f ca="1">IF(ISERROR($V175),"",OFFSET('Smelter Look-up'!$D$4,$V175-4,0)&amp;"")</f>
        <v>CHINA</v>
      </c>
      <c r="F175" s="217" t="str">
        <f ca="1">IF(ISERROR($V175),"",OFFSET('Smelter Look-up'!$E$4,$V175-4,0))</f>
        <v>CID000616</v>
      </c>
      <c r="G175" s="217" t="str">
        <f ca="1">IF(C175=$X$4,"Enter smelter details",IF(ISERROR($V175),"",OFFSET('Smelter Look-up'!$F$4,$V175-4,0)))</f>
        <v>RMI</v>
      </c>
      <c r="H175" s="218">
        <f ca="1">IF(ISERROR($V175),"",OFFSET('Smelter Look-up'!$G$4,$V175-4,0))</f>
        <v>0</v>
      </c>
      <c r="I175" s="219" t="str">
        <f ca="1">IF(ISERROR($V175),"",OFFSET('Smelter Look-up'!$H$4,$V175-4,0))</f>
        <v>Yingde</v>
      </c>
      <c r="J175" s="219" t="str">
        <f ca="1">IF(ISERROR($V175),"",OFFSET('Smelter Look-up'!$I$4,$V175-4,0))</f>
        <v>Guangdong Sheng</v>
      </c>
      <c r="K175" s="273"/>
      <c r="L175" s="273"/>
      <c r="M175" s="273"/>
      <c r="N175" s="273"/>
      <c r="O175" s="273"/>
      <c r="P175" s="220"/>
      <c r="Q175" s="274"/>
      <c r="R175" s="217" t="str">
        <f ca="1">IF(ISERROR($V175),"",OFFSET('Smelter Look-up'!$C$4,$V175-4,0)&amp;"")</f>
        <v>Guangdong Zhiyuan New Material Co., Ltd.</v>
      </c>
      <c r="S175" s="225" t="str">
        <f t="shared" ca="1" si="24"/>
        <v>CN</v>
      </c>
      <c r="T175" s="225" t="str">
        <f ca="1">IF(B175="","",IF(ISERROR(MATCH($J175,SorP!$B$1:$B$6230,0)),"",INDIRECT("'SorP'!$A$"&amp;MATCH($J175,SorP!$B$1:$B$6230,0))))</f>
        <v>CN-GD</v>
      </c>
      <c r="U175" s="241"/>
      <c r="V175" s="275">
        <f>IF(C175="",NA(),MATCH($B175&amp;$C175,'Smelter Look-up'!$J:$J,0))</f>
        <v>306</v>
      </c>
      <c r="W175" s="276"/>
      <c r="X175" s="276">
        <f t="shared" ca="1" si="25"/>
        <v>0</v>
      </c>
      <c r="Y175" s="276"/>
      <c r="Z175" s="276"/>
      <c r="AB175" s="278" t="str">
        <f t="shared" si="26"/>
        <v>TantalumGuangdong Zhiyuan New Material Co., Ltd.</v>
      </c>
    </row>
    <row r="176" spans="1:28" s="277" customFormat="1" ht="27.95" customHeight="1">
      <c r="A176" s="216"/>
      <c r="B176" s="217" t="s">
        <v>1155</v>
      </c>
      <c r="C176" s="221" t="s">
        <v>1438</v>
      </c>
      <c r="D176" s="283"/>
      <c r="E176" s="217" t="str">
        <f ca="1">IF(ISERROR($V176),"",OFFSET('Smelter Look-up'!$D$4,$V176-4,0)&amp;"")</f>
        <v>THAILAND</v>
      </c>
      <c r="F176" s="217" t="str">
        <f ca="1">IF(ISERROR($V176),"",OFFSET('Smelter Look-up'!$E$4,$V176-4,0))</f>
        <v>CID002544</v>
      </c>
      <c r="G176" s="217" t="str">
        <f ca="1">IF(C176=$X$4,"Enter smelter details",IF(ISERROR($V176),"",OFFSET('Smelter Look-up'!$F$4,$V176-4,0)))</f>
        <v>RMI</v>
      </c>
      <c r="H176" s="218">
        <f ca="1">IF(ISERROR($V176),"",OFFSET('Smelter Look-up'!$G$4,$V176-4,0))</f>
        <v>0</v>
      </c>
      <c r="I176" s="219" t="str">
        <f ca="1">IF(ISERROR($V176),"",OFFSET('Smelter Look-up'!$H$4,$V176-4,0))</f>
        <v>Map Ta Phut</v>
      </c>
      <c r="J176" s="219" t="str">
        <f ca="1">IF(ISERROR($V176),"",OFFSET('Smelter Look-up'!$I$4,$V176-4,0))</f>
        <v>Rayong</v>
      </c>
      <c r="K176" s="273"/>
      <c r="L176" s="273"/>
      <c r="M176" s="273"/>
      <c r="N176" s="273"/>
      <c r="O176" s="273"/>
      <c r="P176" s="220"/>
      <c r="Q176" s="274"/>
      <c r="R176" s="217" t="str">
        <f ca="1">IF(ISERROR($V176),"",OFFSET('Smelter Look-up'!$C$4,$V176-4,0)&amp;"")</f>
        <v>H.C. Starck Co., Ltd.</v>
      </c>
      <c r="S176" s="225" t="str">
        <f t="shared" ca="1" si="24"/>
        <v>TH</v>
      </c>
      <c r="T176" s="225" t="str">
        <f ca="1">IF(B176="","",IF(ISERROR(MATCH($J176,SorP!$B$1:$B$6230,0)),"",INDIRECT("'SorP'!$A$"&amp;MATCH($J176,SorP!$B$1:$B$6230,0))))</f>
        <v>TH-21</v>
      </c>
      <c r="U176" s="241"/>
      <c r="V176" s="275">
        <f>IF(C176="",NA(),MATCH($B176&amp;$C176,'Smelter Look-up'!$J:$J,0))</f>
        <v>307</v>
      </c>
      <c r="W176" s="276"/>
      <c r="X176" s="276">
        <f t="shared" ca="1" si="25"/>
        <v>0</v>
      </c>
      <c r="Y176" s="276"/>
      <c r="Z176" s="276"/>
      <c r="AB176" s="278" t="str">
        <f t="shared" si="26"/>
        <v>TantalumH.C. Starck Co., Ltd.</v>
      </c>
    </row>
    <row r="177" spans="1:28" s="277" customFormat="1" ht="27.95" customHeight="1">
      <c r="A177" s="216"/>
      <c r="B177" s="217" t="s">
        <v>1155</v>
      </c>
      <c r="C177" s="221" t="s">
        <v>1441</v>
      </c>
      <c r="D177" s="283"/>
      <c r="E177" s="217" t="str">
        <f ca="1">IF(ISERROR($V177),"",OFFSET('Smelter Look-up'!$D$4,$V177-4,0)&amp;"")</f>
        <v>GERMANY</v>
      </c>
      <c r="F177" s="217" t="str">
        <f ca="1">IF(ISERROR($V177),"",OFFSET('Smelter Look-up'!$E$4,$V177-4,0))</f>
        <v>CID002547</v>
      </c>
      <c r="G177" s="217" t="str">
        <f ca="1">IF(C177=$X$4,"Enter smelter details",IF(ISERROR($V177),"",OFFSET('Smelter Look-up'!$F$4,$V177-4,0)))</f>
        <v>RMI</v>
      </c>
      <c r="H177" s="218">
        <f ca="1">IF(ISERROR($V177),"",OFFSET('Smelter Look-up'!$G$4,$V177-4,0))</f>
        <v>0</v>
      </c>
      <c r="I177" s="219" t="str">
        <f ca="1">IF(ISERROR($V177),"",OFFSET('Smelter Look-up'!$H$4,$V177-4,0))</f>
        <v>Hermsdorf</v>
      </c>
      <c r="J177" s="219" t="str">
        <f ca="1">IF(ISERROR($V177),"",OFFSET('Smelter Look-up'!$I$4,$V177-4,0))</f>
        <v>Thüringen</v>
      </c>
      <c r="K177" s="273"/>
      <c r="L177" s="273"/>
      <c r="M177" s="273"/>
      <c r="N177" s="273"/>
      <c r="O177" s="273"/>
      <c r="P177" s="220"/>
      <c r="Q177" s="274"/>
      <c r="R177" s="217" t="str">
        <f ca="1">IF(ISERROR($V177),"",OFFSET('Smelter Look-up'!$C$4,$V177-4,0)&amp;"")</f>
        <v>H.C. Starck Hermsdorf GmbH</v>
      </c>
      <c r="S177" s="225" t="str">
        <f t="shared" ca="1" si="24"/>
        <v>DE</v>
      </c>
      <c r="T177" s="225" t="str">
        <f ca="1">IF(B177="","",IF(ISERROR(MATCH($J177,SorP!$B$1:$B$6230,0)),"",INDIRECT("'SorP'!$A$"&amp;MATCH($J177,SorP!$B$1:$B$6230,0))))</f>
        <v>DE-TH</v>
      </c>
      <c r="U177" s="241"/>
      <c r="V177" s="275">
        <f>IF(C177="",NA(),MATCH($B177&amp;$C177,'Smelter Look-up'!$J:$J,0))</f>
        <v>308</v>
      </c>
      <c r="W177" s="276"/>
      <c r="X177" s="276">
        <f t="shared" ca="1" si="25"/>
        <v>0</v>
      </c>
      <c r="Y177" s="276"/>
      <c r="Z177" s="276"/>
      <c r="AB177" s="278" t="str">
        <f t="shared" si="26"/>
        <v>TantalumH.C. Starck Hermsdorf GmbH</v>
      </c>
    </row>
    <row r="178" spans="1:28" s="277" customFormat="1" ht="27.95" customHeight="1">
      <c r="A178" s="216"/>
      <c r="B178" s="217" t="s">
        <v>1155</v>
      </c>
      <c r="C178" s="221" t="s">
        <v>1443</v>
      </c>
      <c r="D178" s="283"/>
      <c r="E178" s="217" t="str">
        <f ca="1">IF(ISERROR($V178),"",OFFSET('Smelter Look-up'!$D$4,$V178-4,0)&amp;"")</f>
        <v>UNITED STATES OF AMERICA</v>
      </c>
      <c r="F178" s="217" t="str">
        <f ca="1">IF(ISERROR($V178),"",OFFSET('Smelter Look-up'!$E$4,$V178-4,0))</f>
        <v>CID002548</v>
      </c>
      <c r="G178" s="217" t="str">
        <f ca="1">IF(C178=$X$4,"Enter smelter details",IF(ISERROR($V178),"",OFFSET('Smelter Look-up'!$F$4,$V178-4,0)))</f>
        <v>RMI</v>
      </c>
      <c r="H178" s="218">
        <f ca="1">IF(ISERROR($V178),"",OFFSET('Smelter Look-up'!$G$4,$V178-4,0))</f>
        <v>0</v>
      </c>
      <c r="I178" s="219" t="str">
        <f ca="1">IF(ISERROR($V178),"",OFFSET('Smelter Look-up'!$H$4,$V178-4,0))</f>
        <v>Newton</v>
      </c>
      <c r="J178" s="219" t="str">
        <f ca="1">IF(ISERROR($V178),"",OFFSET('Smelter Look-up'!$I$4,$V178-4,0))</f>
        <v>Massachusetts</v>
      </c>
      <c r="K178" s="273"/>
      <c r="L178" s="273"/>
      <c r="M178" s="273"/>
      <c r="N178" s="273"/>
      <c r="O178" s="273"/>
      <c r="P178" s="220"/>
      <c r="Q178" s="274"/>
      <c r="R178" s="217" t="str">
        <f ca="1">IF(ISERROR($V178),"",OFFSET('Smelter Look-up'!$C$4,$V178-4,0)&amp;"")</f>
        <v>H.C. Starck Inc.</v>
      </c>
      <c r="S178" s="225" t="str">
        <f t="shared" ca="1" si="24"/>
        <v>US</v>
      </c>
      <c r="T178" s="225" t="str">
        <f ca="1">IF(B178="","",IF(ISERROR(MATCH($J178,SorP!$B$1:$B$6230,0)),"",INDIRECT("'SorP'!$A$"&amp;MATCH($J178,SorP!$B$1:$B$6230,0))))</f>
        <v>US-MA</v>
      </c>
      <c r="U178" s="241"/>
      <c r="V178" s="275">
        <f>IF(C178="",NA(),MATCH($B178&amp;$C178,'Smelter Look-up'!$J:$J,0))</f>
        <v>309</v>
      </c>
      <c r="W178" s="276"/>
      <c r="X178" s="276">
        <f t="shared" ca="1" si="25"/>
        <v>0</v>
      </c>
      <c r="Y178" s="276"/>
      <c r="Z178" s="276"/>
      <c r="AB178" s="278" t="str">
        <f t="shared" si="26"/>
        <v>TantalumH.C. Starck Inc.</v>
      </c>
    </row>
    <row r="179" spans="1:28" s="277" customFormat="1" ht="27.95" customHeight="1">
      <c r="A179" s="216"/>
      <c r="B179" s="217" t="s">
        <v>1155</v>
      </c>
      <c r="C179" s="221" t="s">
        <v>1445</v>
      </c>
      <c r="D179" s="283"/>
      <c r="E179" s="217" t="str">
        <f ca="1">IF(ISERROR($V179),"",OFFSET('Smelter Look-up'!$D$4,$V179-4,0)&amp;"")</f>
        <v>JAPAN</v>
      </c>
      <c r="F179" s="217" t="str">
        <f ca="1">IF(ISERROR($V179),"",OFFSET('Smelter Look-up'!$E$4,$V179-4,0))</f>
        <v>CID002549</v>
      </c>
      <c r="G179" s="217" t="str">
        <f ca="1">IF(C179=$X$4,"Enter smelter details",IF(ISERROR($V179),"",OFFSET('Smelter Look-up'!$F$4,$V179-4,0)))</f>
        <v>RMI</v>
      </c>
      <c r="H179" s="218">
        <f ca="1">IF(ISERROR($V179),"",OFFSET('Smelter Look-up'!$G$4,$V179-4,0))</f>
        <v>0</v>
      </c>
      <c r="I179" s="219" t="str">
        <f ca="1">IF(ISERROR($V179),"",OFFSET('Smelter Look-up'!$H$4,$V179-4,0))</f>
        <v>Mito</v>
      </c>
      <c r="J179" s="219" t="str">
        <f ca="1">IF(ISERROR($V179),"",OFFSET('Smelter Look-up'!$I$4,$V179-4,0))</f>
        <v>Ibaraki</v>
      </c>
      <c r="K179" s="273"/>
      <c r="L179" s="273"/>
      <c r="M179" s="273"/>
      <c r="N179" s="273"/>
      <c r="O179" s="273"/>
      <c r="P179" s="220"/>
      <c r="Q179" s="274"/>
      <c r="R179" s="217" t="str">
        <f ca="1">IF(ISERROR($V179),"",OFFSET('Smelter Look-up'!$C$4,$V179-4,0)&amp;"")</f>
        <v>H.C. Starck Ltd.</v>
      </c>
      <c r="S179" s="225" t="str">
        <f t="shared" ca="1" si="24"/>
        <v>JP</v>
      </c>
      <c r="T179" s="225" t="str">
        <f ca="1">IF(B179="","",IF(ISERROR(MATCH($J179,SorP!$B$1:$B$6230,0)),"",INDIRECT("'SorP'!$A$"&amp;MATCH($J179,SorP!$B$1:$B$6230,0))))</f>
        <v>JP-08</v>
      </c>
      <c r="U179" s="241"/>
      <c r="V179" s="275">
        <f>IF(C179="",NA(),MATCH($B179&amp;$C179,'Smelter Look-up'!$J:$J,0))</f>
        <v>310</v>
      </c>
      <c r="W179" s="276"/>
      <c r="X179" s="276">
        <f t="shared" ca="1" si="25"/>
        <v>0</v>
      </c>
      <c r="Y179" s="276"/>
      <c r="Z179" s="276"/>
      <c r="AB179" s="278" t="str">
        <f t="shared" si="26"/>
        <v>TantalumH.C. Starck Ltd.</v>
      </c>
    </row>
    <row r="180" spans="1:28" s="277" customFormat="1" ht="27.95" customHeight="1">
      <c r="A180" s="216"/>
      <c r="B180" s="217" t="s">
        <v>1155</v>
      </c>
      <c r="C180" s="221" t="s">
        <v>2461</v>
      </c>
      <c r="D180" s="283"/>
      <c r="E180" s="217" t="str">
        <f ca="1">IF(ISERROR($V180),"",OFFSET('Smelter Look-up'!$D$4,$V180-4,0)&amp;"")</f>
        <v>GERMANY</v>
      </c>
      <c r="F180" s="217" t="str">
        <f ca="1">IF(ISERROR($V180),"",OFFSET('Smelter Look-up'!$E$4,$V180-4,0))</f>
        <v>CID002550</v>
      </c>
      <c r="G180" s="217" t="str">
        <f ca="1">IF(C180=$X$4,"Enter smelter details",IF(ISERROR($V180),"",OFFSET('Smelter Look-up'!$F$4,$V180-4,0)))</f>
        <v>RMI</v>
      </c>
      <c r="H180" s="218">
        <f ca="1">IF(ISERROR($V180),"",OFFSET('Smelter Look-up'!$G$4,$V180-4,0))</f>
        <v>0</v>
      </c>
      <c r="I180" s="219" t="str">
        <f ca="1">IF(ISERROR($V180),"",OFFSET('Smelter Look-up'!$H$4,$V180-4,0))</f>
        <v>Laufenburg</v>
      </c>
      <c r="J180" s="219" t="str">
        <f ca="1">IF(ISERROR($V180),"",OFFSET('Smelter Look-up'!$I$4,$V180-4,0))</f>
        <v>Baden-Württemberg</v>
      </c>
      <c r="K180" s="273"/>
      <c r="L180" s="273"/>
      <c r="M180" s="273"/>
      <c r="N180" s="273"/>
      <c r="O180" s="273"/>
      <c r="P180" s="220"/>
      <c r="Q180" s="274"/>
      <c r="R180" s="217" t="str">
        <f ca="1">IF(ISERROR($V180),"",OFFSET('Smelter Look-up'!$C$4,$V180-4,0)&amp;"")</f>
        <v>H.C. Starck Smelting GmbH &amp; Co. KG</v>
      </c>
      <c r="S180" s="225" t="str">
        <f t="shared" ca="1" si="24"/>
        <v>DE</v>
      </c>
      <c r="T180" s="225" t="str">
        <f ca="1">IF(B180="","",IF(ISERROR(MATCH($J180,SorP!$B$1:$B$6230,0)),"",INDIRECT("'SorP'!$A$"&amp;MATCH($J180,SorP!$B$1:$B$6230,0))))</f>
        <v>DE-BW</v>
      </c>
      <c r="U180" s="241"/>
      <c r="V180" s="275">
        <f>IF(C180="",NA(),MATCH($B180&amp;$C180,'Smelter Look-up'!$J:$J,0))</f>
        <v>311</v>
      </c>
      <c r="W180" s="276"/>
      <c r="X180" s="276">
        <f t="shared" ca="1" si="25"/>
        <v>0</v>
      </c>
      <c r="Y180" s="276"/>
      <c r="Z180" s="276"/>
      <c r="AB180" s="278" t="str">
        <f t="shared" si="26"/>
        <v>TantalumH.C. Starck Smelting GmbH &amp; Co. KG</v>
      </c>
    </row>
    <row r="181" spans="1:28" s="277" customFormat="1" ht="27.95" customHeight="1">
      <c r="A181" s="216"/>
      <c r="B181" s="217" t="s">
        <v>1155</v>
      </c>
      <c r="C181" s="221" t="s">
        <v>2673</v>
      </c>
      <c r="D181" s="283"/>
      <c r="E181" s="217" t="str">
        <f ca="1">IF(ISERROR($V181),"",OFFSET('Smelter Look-up'!$D$4,$V181-4,0)&amp;"")</f>
        <v>GERMANY</v>
      </c>
      <c r="F181" s="217" t="str">
        <f ca="1">IF(ISERROR($V181),"",OFFSET('Smelter Look-up'!$E$4,$V181-4,0))</f>
        <v>CID002545</v>
      </c>
      <c r="G181" s="217" t="str">
        <f ca="1">IF(C181=$X$4,"Enter smelter details",IF(ISERROR($V181),"",OFFSET('Smelter Look-up'!$F$4,$V181-4,0)))</f>
        <v>RMI</v>
      </c>
      <c r="H181" s="218">
        <f ca="1">IF(ISERROR($V181),"",OFFSET('Smelter Look-up'!$G$4,$V181-4,0))</f>
        <v>0</v>
      </c>
      <c r="I181" s="219" t="str">
        <f ca="1">IF(ISERROR($V181),"",OFFSET('Smelter Look-up'!$H$4,$V181-4,0))</f>
        <v>Goslar</v>
      </c>
      <c r="J181" s="219" t="str">
        <f ca="1">IF(ISERROR($V181),"",OFFSET('Smelter Look-up'!$I$4,$V181-4,0))</f>
        <v>Niedersachsen</v>
      </c>
      <c r="K181" s="273"/>
      <c r="L181" s="273"/>
      <c r="M181" s="273"/>
      <c r="N181" s="273"/>
      <c r="O181" s="273"/>
      <c r="P181" s="220"/>
      <c r="Q181" s="274"/>
      <c r="R181" s="217" t="str">
        <f ca="1">IF(ISERROR($V181),"",OFFSET('Smelter Look-up'!$C$4,$V181-4,0)&amp;"")</f>
        <v>H.C. Starck Tantalum and Niobium GmbH</v>
      </c>
      <c r="S181" s="225" t="str">
        <f t="shared" ca="1" si="24"/>
        <v>DE</v>
      </c>
      <c r="T181" s="225" t="str">
        <f ca="1">IF(B181="","",IF(ISERROR(MATCH($J181,SorP!$B$1:$B$6230,0)),"",INDIRECT("'SorP'!$A$"&amp;MATCH($J181,SorP!$B$1:$B$6230,0))))</f>
        <v>DE-NI</v>
      </c>
      <c r="U181" s="241"/>
      <c r="V181" s="275">
        <f>IF(C181="",NA(),MATCH($B181&amp;$C181,'Smelter Look-up'!$J:$J,0))</f>
        <v>312</v>
      </c>
      <c r="W181" s="276"/>
      <c r="X181" s="276">
        <f t="shared" ca="1" si="25"/>
        <v>0</v>
      </c>
      <c r="Y181" s="276"/>
      <c r="Z181" s="276"/>
      <c r="AB181" s="278" t="str">
        <f t="shared" si="26"/>
        <v>TantalumH.C. Starck Tantalum and Niobium GmbH</v>
      </c>
    </row>
    <row r="182" spans="1:28" s="277" customFormat="1" ht="27.95" customHeight="1">
      <c r="A182" s="216"/>
      <c r="B182" s="217" t="s">
        <v>1155</v>
      </c>
      <c r="C182" s="221" t="s">
        <v>4</v>
      </c>
      <c r="D182" s="283"/>
      <c r="E182" s="217" t="str">
        <f ca="1">IF(ISERROR($V182),"",OFFSET('Smelter Look-up'!$D$4,$V182-4,0)&amp;"")</f>
        <v>CHINA</v>
      </c>
      <c r="F182" s="217" t="str">
        <f ca="1">IF(ISERROR($V182),"",OFFSET('Smelter Look-up'!$E$4,$V182-4,0))</f>
        <v>CID002492</v>
      </c>
      <c r="G182" s="217" t="str">
        <f ca="1">IF(C182=$X$4,"Enter smelter details",IF(ISERROR($V182),"",OFFSET('Smelter Look-up'!$F$4,$V182-4,0)))</f>
        <v>RMI</v>
      </c>
      <c r="H182" s="218">
        <f ca="1">IF(ISERROR($V182),"",OFFSET('Smelter Look-up'!$G$4,$V182-4,0))</f>
        <v>0</v>
      </c>
      <c r="I182" s="219" t="str">
        <f ca="1">IF(ISERROR($V182),"",OFFSET('Smelter Look-up'!$H$4,$V182-4,0))</f>
        <v>Hengyang</v>
      </c>
      <c r="J182" s="219" t="str">
        <f ca="1">IF(ISERROR($V182),"",OFFSET('Smelter Look-up'!$I$4,$V182-4,0))</f>
        <v>Hunan Sheng</v>
      </c>
      <c r="K182" s="273"/>
      <c r="L182" s="273"/>
      <c r="M182" s="273"/>
      <c r="N182" s="273"/>
      <c r="O182" s="273"/>
      <c r="P182" s="220"/>
      <c r="Q182" s="274"/>
      <c r="R182" s="217" t="str">
        <f ca="1">IF(ISERROR($V182),"",OFFSET('Smelter Look-up'!$C$4,$V182-4,0)&amp;"")</f>
        <v>Hengyang King Xing Lifeng New Materials Co., Ltd.</v>
      </c>
      <c r="S182" s="225" t="str">
        <f t="shared" ca="1" si="24"/>
        <v>CN</v>
      </c>
      <c r="T182" s="225" t="str">
        <f ca="1">IF(B182="","",IF(ISERROR(MATCH($J182,SorP!$B$1:$B$6230,0)),"",INDIRECT("'SorP'!$A$"&amp;MATCH($J182,SorP!$B$1:$B$6230,0))))</f>
        <v>CN-HN</v>
      </c>
      <c r="U182" s="241"/>
      <c r="V182" s="275">
        <f>IF(C182="",NA(),MATCH($B182&amp;$C182,'Smelter Look-up'!$J:$J,0))</f>
        <v>313</v>
      </c>
      <c r="W182" s="276"/>
      <c r="X182" s="276">
        <f t="shared" ca="1" si="25"/>
        <v>0</v>
      </c>
      <c r="Y182" s="276"/>
      <c r="Z182" s="276"/>
      <c r="AB182" s="278" t="str">
        <f t="shared" si="26"/>
        <v>TantalumHengyang King Xing Lifeng New Materials Co., Ltd.</v>
      </c>
    </row>
    <row r="183" spans="1:28" s="277" customFormat="1" ht="27.95" customHeight="1">
      <c r="A183" s="216"/>
      <c r="B183" s="217" t="s">
        <v>1155</v>
      </c>
      <c r="C183" s="221" t="s">
        <v>2279</v>
      </c>
      <c r="D183" s="283"/>
      <c r="E183" s="217" t="str">
        <f ca="1">IF(ISERROR($V183),"",OFFSET('Smelter Look-up'!$D$4,$V183-4,0)&amp;"")</f>
        <v>CHINA</v>
      </c>
      <c r="F183" s="217" t="str">
        <f ca="1">IF(ISERROR($V183),"",OFFSET('Smelter Look-up'!$E$4,$V183-4,0))</f>
        <v>CID002512</v>
      </c>
      <c r="G183" s="217" t="str">
        <f ca="1">IF(C183=$X$4,"Enter smelter details",IF(ISERROR($V183),"",OFFSET('Smelter Look-up'!$F$4,$V183-4,0)))</f>
        <v>RMI</v>
      </c>
      <c r="H183" s="218">
        <f ca="1">IF(ISERROR($V183),"",OFFSET('Smelter Look-up'!$G$4,$V183-4,0))</f>
        <v>0</v>
      </c>
      <c r="I183" s="219" t="str">
        <f ca="1">IF(ISERROR($V183),"",OFFSET('Smelter Look-up'!$H$4,$V183-4,0))</f>
        <v>Fengxin</v>
      </c>
      <c r="J183" s="219" t="str">
        <f ca="1">IF(ISERROR($V183),"",OFFSET('Smelter Look-up'!$I$4,$V183-4,0))</f>
        <v>Jiangxi Sheng</v>
      </c>
      <c r="K183" s="273"/>
      <c r="L183" s="273"/>
      <c r="M183" s="273"/>
      <c r="N183" s="273"/>
      <c r="O183" s="273"/>
      <c r="P183" s="220"/>
      <c r="Q183" s="274"/>
      <c r="R183" s="217" t="str">
        <f ca="1">IF(ISERROR($V183),"",OFFSET('Smelter Look-up'!$C$4,$V183-4,0)&amp;"")</f>
        <v>Jiangxi Dinghai Tantalum &amp; Niobium Co., Ltd.</v>
      </c>
      <c r="S183" s="225" t="str">
        <f t="shared" ca="1" si="24"/>
        <v>CN</v>
      </c>
      <c r="T183" s="225" t="str">
        <f ca="1">IF(B183="","",IF(ISERROR(MATCH($J183,SorP!$B$1:$B$6230,0)),"",INDIRECT("'SorP'!$A$"&amp;MATCH($J183,SorP!$B$1:$B$6230,0))))</f>
        <v>CN-JX</v>
      </c>
      <c r="U183" s="241"/>
      <c r="V183" s="275">
        <f>IF(C183="",NA(),MATCH($B183&amp;$C183,'Smelter Look-up'!$J:$J,0))</f>
        <v>314</v>
      </c>
      <c r="W183" s="276"/>
      <c r="X183" s="276">
        <f t="shared" ca="1" si="25"/>
        <v>0</v>
      </c>
      <c r="Y183" s="276"/>
      <c r="Z183" s="276"/>
      <c r="AB183" s="278" t="str">
        <f t="shared" si="26"/>
        <v>TantalumJiangxi Dinghai Tantalum &amp; Niobium Co., Ltd.</v>
      </c>
    </row>
    <row r="184" spans="1:28" s="277" customFormat="1" ht="27.95" customHeight="1">
      <c r="A184" s="216"/>
      <c r="B184" s="217" t="s">
        <v>1155</v>
      </c>
      <c r="C184" s="221" t="s">
        <v>2386</v>
      </c>
      <c r="D184" s="283"/>
      <c r="E184" s="217" t="str">
        <f ca="1">IF(ISERROR($V184),"",OFFSET('Smelter Look-up'!$D$4,$V184-4,0)&amp;"")</f>
        <v>CHINA</v>
      </c>
      <c r="F184" s="217" t="str">
        <f ca="1">IF(ISERROR($V184),"",OFFSET('Smelter Look-up'!$E$4,$V184-4,0))</f>
        <v>CID002842</v>
      </c>
      <c r="G184" s="217" t="str">
        <f ca="1">IF(C184=$X$4,"Enter smelter details",IF(ISERROR($V184),"",OFFSET('Smelter Look-up'!$F$4,$V184-4,0)))</f>
        <v>RMI</v>
      </c>
      <c r="H184" s="218">
        <f ca="1">IF(ISERROR($V184),"",OFFSET('Smelter Look-up'!$G$4,$V184-4,0))</f>
        <v>0</v>
      </c>
      <c r="I184" s="219" t="str">
        <f ca="1">IF(ISERROR($V184),"",OFFSET('Smelter Look-up'!$H$4,$V184-4,0))</f>
        <v>Yichun</v>
      </c>
      <c r="J184" s="219" t="str">
        <f ca="1">IF(ISERROR($V184),"",OFFSET('Smelter Look-up'!$I$4,$V184-4,0))</f>
        <v>Jiangxi Sheng</v>
      </c>
      <c r="K184" s="273"/>
      <c r="L184" s="273"/>
      <c r="M184" s="273"/>
      <c r="N184" s="273"/>
      <c r="O184" s="273"/>
      <c r="P184" s="220"/>
      <c r="Q184" s="274"/>
      <c r="R184" s="217" t="str">
        <f ca="1">IF(ISERROR($V184),"",OFFSET('Smelter Look-up'!$C$4,$V184-4,0)&amp;"")</f>
        <v>Jiangxi Tuohong New Raw Material</v>
      </c>
      <c r="S184" s="225" t="str">
        <f t="shared" ca="1" si="24"/>
        <v>CN</v>
      </c>
      <c r="T184" s="225" t="str">
        <f ca="1">IF(B184="","",IF(ISERROR(MATCH($J184,SorP!$B$1:$B$6230,0)),"",INDIRECT("'SorP'!$A$"&amp;MATCH($J184,SorP!$B$1:$B$6230,0))))</f>
        <v>CN-JX</v>
      </c>
      <c r="U184" s="241"/>
      <c r="V184" s="275">
        <f>IF(C184="",NA(),MATCH($B184&amp;$C184,'Smelter Look-up'!$J:$J,0))</f>
        <v>315</v>
      </c>
      <c r="W184" s="276"/>
      <c r="X184" s="276">
        <f t="shared" ca="1" si="25"/>
        <v>0</v>
      </c>
      <c r="Y184" s="276"/>
      <c r="Z184" s="276"/>
      <c r="AB184" s="278" t="str">
        <f t="shared" si="26"/>
        <v>TantalumJiangxi Tuohong New Raw Material</v>
      </c>
    </row>
    <row r="185" spans="1:28" s="277" customFormat="1" ht="27.95" customHeight="1">
      <c r="A185" s="216"/>
      <c r="B185" s="217" t="s">
        <v>1155</v>
      </c>
      <c r="C185" s="221" t="s">
        <v>5</v>
      </c>
      <c r="D185" s="283"/>
      <c r="E185" s="217" t="str">
        <f ca="1">IF(ISERROR($V185),"",OFFSET('Smelter Look-up'!$D$4,$V185-4,0)&amp;"")</f>
        <v>CHINA</v>
      </c>
      <c r="F185" s="217" t="str">
        <f ca="1">IF(ISERROR($V185),"",OFFSET('Smelter Look-up'!$E$4,$V185-4,0))</f>
        <v>CID000914</v>
      </c>
      <c r="G185" s="217" t="str">
        <f ca="1">IF(C185=$X$4,"Enter smelter details",IF(ISERROR($V185),"",OFFSET('Smelter Look-up'!$F$4,$V185-4,0)))</f>
        <v>RMI</v>
      </c>
      <c r="H185" s="218">
        <f ca="1">IF(ISERROR($V185),"",OFFSET('Smelter Look-up'!$G$4,$V185-4,0))</f>
        <v>0</v>
      </c>
      <c r="I185" s="219" t="str">
        <f ca="1">IF(ISERROR($V185),"",OFFSET('Smelter Look-up'!$H$4,$V185-4,0))</f>
        <v>Jiujiang</v>
      </c>
      <c r="J185" s="219" t="str">
        <f ca="1">IF(ISERROR($V185),"",OFFSET('Smelter Look-up'!$I$4,$V185-4,0))</f>
        <v>Jiangxi Sheng</v>
      </c>
      <c r="K185" s="273"/>
      <c r="L185" s="273"/>
      <c r="M185" s="273"/>
      <c r="N185" s="273"/>
      <c r="O185" s="273"/>
      <c r="P185" s="220"/>
      <c r="Q185" s="274"/>
      <c r="R185" s="217" t="str">
        <f ca="1">IF(ISERROR($V185),"",OFFSET('Smelter Look-up'!$C$4,$V185-4,0)&amp;"")</f>
        <v>JiuJiang JinXin Nonferrous Metals Co., Ltd.</v>
      </c>
      <c r="S185" s="225" t="str">
        <f t="shared" ca="1" si="24"/>
        <v>CN</v>
      </c>
      <c r="T185" s="225" t="str">
        <f ca="1">IF(B185="","",IF(ISERROR(MATCH($J185,SorP!$B$1:$B$6230,0)),"",INDIRECT("'SorP'!$A$"&amp;MATCH($J185,SorP!$B$1:$B$6230,0))))</f>
        <v>CN-JX</v>
      </c>
      <c r="U185" s="241"/>
      <c r="V185" s="275">
        <f>IF(C185="",NA(),MATCH($B185&amp;$C185,'Smelter Look-up'!$J:$J,0))</f>
        <v>316</v>
      </c>
      <c r="W185" s="276"/>
      <c r="X185" s="276">
        <f t="shared" ca="1" si="25"/>
        <v>0</v>
      </c>
      <c r="Y185" s="276"/>
      <c r="Z185" s="276"/>
      <c r="AB185" s="278" t="str">
        <f t="shared" si="26"/>
        <v>TantalumJiuJiang JinXin Nonferrous Metals Co., Ltd.</v>
      </c>
    </row>
    <row r="186" spans="1:28" s="277" customFormat="1" ht="27.95" customHeight="1">
      <c r="A186" s="216"/>
      <c r="B186" s="217" t="s">
        <v>1155</v>
      </c>
      <c r="C186" s="221" t="s">
        <v>48</v>
      </c>
      <c r="D186" s="283"/>
      <c r="E186" s="217" t="str">
        <f ca="1">IF(ISERROR($V186),"",OFFSET('Smelter Look-up'!$D$4,$V186-4,0)&amp;"")</f>
        <v>CHINA</v>
      </c>
      <c r="F186" s="217" t="str">
        <f ca="1">IF(ISERROR($V186),"",OFFSET('Smelter Look-up'!$E$4,$V186-4,0))</f>
        <v>CID000917</v>
      </c>
      <c r="G186" s="217" t="str">
        <f ca="1">IF(C186=$X$4,"Enter smelter details",IF(ISERROR($V186),"",OFFSET('Smelter Look-up'!$F$4,$V186-4,0)))</f>
        <v>RMI</v>
      </c>
      <c r="H186" s="218">
        <f ca="1">IF(ISERROR($V186),"",OFFSET('Smelter Look-up'!$G$4,$V186-4,0))</f>
        <v>0</v>
      </c>
      <c r="I186" s="219" t="str">
        <f ca="1">IF(ISERROR($V186),"",OFFSET('Smelter Look-up'!$H$4,$V186-4,0))</f>
        <v>Jiujiang</v>
      </c>
      <c r="J186" s="219" t="str">
        <f ca="1">IF(ISERROR($V186),"",OFFSET('Smelter Look-up'!$I$4,$V186-4,0))</f>
        <v>Jiangxi Sheng</v>
      </c>
      <c r="K186" s="273"/>
      <c r="L186" s="273"/>
      <c r="M186" s="273"/>
      <c r="N186" s="273"/>
      <c r="O186" s="273"/>
      <c r="P186" s="220"/>
      <c r="Q186" s="274"/>
      <c r="R186" s="217" t="str">
        <f ca="1">IF(ISERROR($V186),"",OFFSET('Smelter Look-up'!$C$4,$V186-4,0)&amp;"")</f>
        <v>Jiujiang Tanbre Co., Ltd.</v>
      </c>
      <c r="S186" s="225" t="str">
        <f t="shared" ca="1" si="24"/>
        <v>CN</v>
      </c>
      <c r="T186" s="225" t="str">
        <f ca="1">IF(B186="","",IF(ISERROR(MATCH($J186,SorP!$B$1:$B$6230,0)),"",INDIRECT("'SorP'!$A$"&amp;MATCH($J186,SorP!$B$1:$B$6230,0))))</f>
        <v>CN-JX</v>
      </c>
      <c r="U186" s="241"/>
      <c r="V186" s="275">
        <f>IF(C186="",NA(),MATCH($B186&amp;$C186,'Smelter Look-up'!$J:$J,0))</f>
        <v>318</v>
      </c>
      <c r="W186" s="276"/>
      <c r="X186" s="276">
        <f t="shared" ca="1" si="25"/>
        <v>0</v>
      </c>
      <c r="Y186" s="276"/>
      <c r="Z186" s="276"/>
      <c r="AB186" s="278" t="str">
        <f t="shared" si="26"/>
        <v>TantalumJiujiang Tanbre Co., Ltd.</v>
      </c>
    </row>
    <row r="187" spans="1:28" s="277" customFormat="1" ht="27.95" customHeight="1">
      <c r="A187" s="216"/>
      <c r="B187" s="217" t="s">
        <v>1155</v>
      </c>
      <c r="C187" s="221" t="s">
        <v>2276</v>
      </c>
      <c r="D187" s="283"/>
      <c r="E187" s="217" t="str">
        <f ca="1">IF(ISERROR($V187),"",OFFSET('Smelter Look-up'!$D$4,$V187-4,0)&amp;"")</f>
        <v>CHINA</v>
      </c>
      <c r="F187" s="217" t="str">
        <f ca="1">IF(ISERROR($V187),"",OFFSET('Smelter Look-up'!$E$4,$V187-4,0))</f>
        <v>CID002506</v>
      </c>
      <c r="G187" s="217" t="str">
        <f ca="1">IF(C187=$X$4,"Enter smelter details",IF(ISERROR($V187),"",OFFSET('Smelter Look-up'!$F$4,$V187-4,0)))</f>
        <v>RMI</v>
      </c>
      <c r="H187" s="218">
        <f ca="1">IF(ISERROR($V187),"",OFFSET('Smelter Look-up'!$G$4,$V187-4,0))</f>
        <v>0</v>
      </c>
      <c r="I187" s="219" t="str">
        <f ca="1">IF(ISERROR($V187),"",OFFSET('Smelter Look-up'!$H$4,$V187-4,0))</f>
        <v>Jiujiang</v>
      </c>
      <c r="J187" s="219" t="str">
        <f ca="1">IF(ISERROR($V187),"",OFFSET('Smelter Look-up'!$I$4,$V187-4,0))</f>
        <v>Jiangxi Sheng</v>
      </c>
      <c r="K187" s="273"/>
      <c r="L187" s="273"/>
      <c r="M187" s="273"/>
      <c r="N187" s="273"/>
      <c r="O187" s="273"/>
      <c r="P187" s="220"/>
      <c r="Q187" s="274"/>
      <c r="R187" s="217" t="str">
        <f ca="1">IF(ISERROR($V187),"",OFFSET('Smelter Look-up'!$C$4,$V187-4,0)&amp;"")</f>
        <v>Jiujiang Zhongao Tantalum &amp; Niobium Co., Ltd.</v>
      </c>
      <c r="S187" s="225" t="str">
        <f t="shared" ca="1" si="24"/>
        <v>CN</v>
      </c>
      <c r="T187" s="225" t="str">
        <f ca="1">IF(B187="","",IF(ISERROR(MATCH($J187,SorP!$B$1:$B$6230,0)),"",INDIRECT("'SorP'!$A$"&amp;MATCH($J187,SorP!$B$1:$B$6230,0))))</f>
        <v>CN-JX</v>
      </c>
      <c r="U187" s="241"/>
      <c r="V187" s="275">
        <f>IF(C187="",NA(),MATCH($B187&amp;$C187,'Smelter Look-up'!$J:$J,0))</f>
        <v>319</v>
      </c>
      <c r="W187" s="276"/>
      <c r="X187" s="276">
        <f t="shared" ca="1" si="25"/>
        <v>0</v>
      </c>
      <c r="Y187" s="276"/>
      <c r="Z187" s="276"/>
      <c r="AB187" s="278" t="str">
        <f t="shared" si="26"/>
        <v>TantalumJiujiang Zhongao Tantalum &amp; Niobium Co., Ltd.</v>
      </c>
    </row>
    <row r="188" spans="1:28" s="277" customFormat="1" ht="27.95" customHeight="1">
      <c r="A188" s="216"/>
      <c r="B188" s="217" t="s">
        <v>1155</v>
      </c>
      <c r="C188" s="221" t="s">
        <v>1448</v>
      </c>
      <c r="D188" s="283"/>
      <c r="E188" s="217" t="str">
        <f ca="1">IF(ISERROR($V188),"",OFFSET('Smelter Look-up'!$D$4,$V188-4,0)&amp;"")</f>
        <v>MEXICO</v>
      </c>
      <c r="F188" s="217" t="str">
        <f ca="1">IF(ISERROR($V188),"",OFFSET('Smelter Look-up'!$E$4,$V188-4,0))</f>
        <v>CID002539</v>
      </c>
      <c r="G188" s="217" t="str">
        <f ca="1">IF(C188=$X$4,"Enter smelter details",IF(ISERROR($V188),"",OFFSET('Smelter Look-up'!$F$4,$V188-4,0)))</f>
        <v>RMI</v>
      </c>
      <c r="H188" s="218">
        <f ca="1">IF(ISERROR($V188),"",OFFSET('Smelter Look-up'!$G$4,$V188-4,0))</f>
        <v>0</v>
      </c>
      <c r="I188" s="219" t="str">
        <f ca="1">IF(ISERROR($V188),"",OFFSET('Smelter Look-up'!$H$4,$V188-4,0))</f>
        <v>Matamoros</v>
      </c>
      <c r="J188" s="219" t="str">
        <f ca="1">IF(ISERROR($V188),"",OFFSET('Smelter Look-up'!$I$4,$V188-4,0))</f>
        <v>Tamaulipas</v>
      </c>
      <c r="K188" s="273"/>
      <c r="L188" s="273"/>
      <c r="M188" s="273"/>
      <c r="N188" s="273"/>
      <c r="O188" s="273"/>
      <c r="P188" s="220"/>
      <c r="Q188" s="274"/>
      <c r="R188" s="217" t="str">
        <f ca="1">IF(ISERROR($V188),"",OFFSET('Smelter Look-up'!$C$4,$V188-4,0)&amp;"")</f>
        <v>KEMET Blue Metals</v>
      </c>
      <c r="S188" s="225" t="str">
        <f t="shared" ca="1" si="24"/>
        <v>MX</v>
      </c>
      <c r="T188" s="225" t="str">
        <f ca="1">IF(B188="","",IF(ISERROR(MATCH($J188,SorP!$B$1:$B$6230,0)),"",INDIRECT("'SorP'!$A$"&amp;MATCH($J188,SorP!$B$1:$B$6230,0))))</f>
        <v>MX-TAM</v>
      </c>
      <c r="U188" s="241"/>
      <c r="V188" s="275">
        <f>IF(C188="",NA(),MATCH($B188&amp;$C188,'Smelter Look-up'!$J:$J,0))</f>
        <v>320</v>
      </c>
      <c r="W188" s="276"/>
      <c r="X188" s="276">
        <f t="shared" ca="1" si="25"/>
        <v>0</v>
      </c>
      <c r="Y188" s="276"/>
      <c r="Z188" s="276"/>
      <c r="AB188" s="278" t="str">
        <f t="shared" si="26"/>
        <v>TantalumKEMET Blue Metals</v>
      </c>
    </row>
    <row r="189" spans="1:28" s="277" customFormat="1" ht="27.95" customHeight="1">
      <c r="A189" s="216"/>
      <c r="B189" s="217" t="s">
        <v>1155</v>
      </c>
      <c r="C189" s="221" t="s">
        <v>49</v>
      </c>
      <c r="D189" s="283"/>
      <c r="E189" s="217" t="str">
        <f ca="1">IF(ISERROR($V189),"",OFFSET('Smelter Look-up'!$D$4,$V189-4,0)&amp;"")</f>
        <v>BRAZIL</v>
      </c>
      <c r="F189" s="217" t="str">
        <f ca="1">IF(ISERROR($V189),"",OFFSET('Smelter Look-up'!$E$4,$V189-4,0))</f>
        <v>CID001076</v>
      </c>
      <c r="G189" s="217" t="str">
        <f ca="1">IF(C189=$X$4,"Enter smelter details",IF(ISERROR($V189),"",OFFSET('Smelter Look-up'!$F$4,$V189-4,0)))</f>
        <v>RMI</v>
      </c>
      <c r="H189" s="218">
        <f ca="1">IF(ISERROR($V189),"",OFFSET('Smelter Look-up'!$G$4,$V189-4,0))</f>
        <v>0</v>
      </c>
      <c r="I189" s="219" t="str">
        <f ca="1">IF(ISERROR($V189),"",OFFSET('Smelter Look-up'!$H$4,$V189-4,0))</f>
        <v>São João del Rei</v>
      </c>
      <c r="J189" s="219" t="str">
        <f ca="1">IF(ISERROR($V189),"",OFFSET('Smelter Look-up'!$I$4,$V189-4,0))</f>
        <v>Minas Gerais</v>
      </c>
      <c r="K189" s="273"/>
      <c r="L189" s="273"/>
      <c r="M189" s="273"/>
      <c r="N189" s="273"/>
      <c r="O189" s="273"/>
      <c r="P189" s="220"/>
      <c r="Q189" s="274"/>
      <c r="R189" s="217" t="str">
        <f ca="1">IF(ISERROR($V189),"",OFFSET('Smelter Look-up'!$C$4,$V189-4,0)&amp;"")</f>
        <v>LSM Brasil S.A.</v>
      </c>
      <c r="S189" s="225" t="str">
        <f t="shared" ca="1" si="24"/>
        <v>BR</v>
      </c>
      <c r="T189" s="225" t="str">
        <f ca="1">IF(B189="","",IF(ISERROR(MATCH($J189,SorP!$B$1:$B$6230,0)),"",INDIRECT("'SorP'!$A$"&amp;MATCH($J189,SorP!$B$1:$B$6230,0))))</f>
        <v>BR-MG</v>
      </c>
      <c r="U189" s="241"/>
      <c r="V189" s="275">
        <f>IF(C189="",NA(),MATCH($B189&amp;$C189,'Smelter Look-up'!$J:$J,0))</f>
        <v>321</v>
      </c>
      <c r="W189" s="276"/>
      <c r="X189" s="276">
        <f t="shared" ca="1" si="25"/>
        <v>0</v>
      </c>
      <c r="Y189" s="276"/>
      <c r="Z189" s="276"/>
      <c r="AB189" s="278" t="str">
        <f t="shared" si="26"/>
        <v>TantalumLSM Brasil S.A.</v>
      </c>
    </row>
    <row r="190" spans="1:28" s="277" customFormat="1" ht="27.95" customHeight="1">
      <c r="A190" s="216"/>
      <c r="B190" s="217" t="s">
        <v>1155</v>
      </c>
      <c r="C190" s="221" t="s">
        <v>2257</v>
      </c>
      <c r="D190" s="283"/>
      <c r="E190" s="217" t="str">
        <f ca="1">IF(ISERROR($V190),"",OFFSET('Smelter Look-up'!$D$4,$V190-4,0)&amp;"")</f>
        <v>INDIA</v>
      </c>
      <c r="F190" s="217" t="str">
        <f ca="1">IF(ISERROR($V190),"",OFFSET('Smelter Look-up'!$E$4,$V190-4,0))</f>
        <v>CID001163</v>
      </c>
      <c r="G190" s="217" t="str">
        <f ca="1">IF(C190=$X$4,"Enter smelter details",IF(ISERROR($V190),"",OFFSET('Smelter Look-up'!$F$4,$V190-4,0)))</f>
        <v>RMI</v>
      </c>
      <c r="H190" s="218">
        <f ca="1">IF(ISERROR($V190),"",OFFSET('Smelter Look-up'!$G$4,$V190-4,0))</f>
        <v>0</v>
      </c>
      <c r="I190" s="219" t="str">
        <f ca="1">IF(ISERROR($V190),"",OFFSET('Smelter Look-up'!$H$4,$V190-4,0))</f>
        <v>District Raigad</v>
      </c>
      <c r="J190" s="219" t="str">
        <f ca="1">IF(ISERROR($V190),"",OFFSET('Smelter Look-up'!$I$4,$V190-4,0))</f>
        <v>Maharashtra</v>
      </c>
      <c r="K190" s="273"/>
      <c r="L190" s="273"/>
      <c r="M190" s="273"/>
      <c r="N190" s="273"/>
      <c r="O190" s="273"/>
      <c r="P190" s="220"/>
      <c r="Q190" s="274"/>
      <c r="R190" s="217" t="str">
        <f ca="1">IF(ISERROR($V190),"",OFFSET('Smelter Look-up'!$C$4,$V190-4,0)&amp;"")</f>
        <v>Metallurgical Products India Pvt., Ltd.</v>
      </c>
      <c r="S190" s="225" t="str">
        <f t="shared" ca="1" si="24"/>
        <v>IN</v>
      </c>
      <c r="T190" s="225" t="str">
        <f ca="1">IF(B190="","",IF(ISERROR(MATCH($J190,SorP!$B$1:$B$6230,0)),"",INDIRECT("'SorP'!$A$"&amp;MATCH($J190,SorP!$B$1:$B$6230,0))))</f>
        <v>IN-MH</v>
      </c>
      <c r="U190" s="241"/>
      <c r="V190" s="275">
        <f>IF(C190="",NA(),MATCH($B190&amp;$C190,'Smelter Look-up'!$J:$J,0))</f>
        <v>323</v>
      </c>
      <c r="W190" s="276"/>
      <c r="X190" s="276">
        <f t="shared" ca="1" si="25"/>
        <v>0</v>
      </c>
      <c r="Y190" s="276"/>
      <c r="Z190" s="276"/>
      <c r="AB190" s="278" t="str">
        <f t="shared" si="26"/>
        <v>TantalumMetallurgical Products India Pvt., Ltd.</v>
      </c>
    </row>
    <row r="191" spans="1:28" s="277" customFormat="1" ht="27.95" customHeight="1">
      <c r="A191" s="216"/>
      <c r="B191" s="217" t="s">
        <v>1155</v>
      </c>
      <c r="C191" s="221" t="s">
        <v>1056</v>
      </c>
      <c r="D191" s="283"/>
      <c r="E191" s="217" t="str">
        <f ca="1">IF(ISERROR($V191),"",OFFSET('Smelter Look-up'!$D$4,$V191-4,0)&amp;"")</f>
        <v>BRAZIL</v>
      </c>
      <c r="F191" s="217" t="str">
        <f ca="1">IF(ISERROR($V191),"",OFFSET('Smelter Look-up'!$E$4,$V191-4,0))</f>
        <v>CID001175</v>
      </c>
      <c r="G191" s="217" t="str">
        <f ca="1">IF(C191=$X$4,"Enter smelter details",IF(ISERROR($V191),"",OFFSET('Smelter Look-up'!$F$4,$V191-4,0)))</f>
        <v>RMI</v>
      </c>
      <c r="H191" s="218">
        <f ca="1">IF(ISERROR($V191),"",OFFSET('Smelter Look-up'!$G$4,$V191-4,0))</f>
        <v>0</v>
      </c>
      <c r="I191" s="219" t="str">
        <f ca="1">IF(ISERROR($V191),"",OFFSET('Smelter Look-up'!$H$4,$V191-4,0))</f>
        <v>Presidente Figueiredo</v>
      </c>
      <c r="J191" s="219" t="str">
        <f ca="1">IF(ISERROR($V191),"",OFFSET('Smelter Look-up'!$I$4,$V191-4,0))</f>
        <v>Amazonas</v>
      </c>
      <c r="K191" s="273"/>
      <c r="L191" s="273"/>
      <c r="M191" s="273"/>
      <c r="N191" s="273"/>
      <c r="O191" s="273"/>
      <c r="P191" s="220"/>
      <c r="Q191" s="274"/>
      <c r="R191" s="217" t="str">
        <f ca="1">IF(ISERROR($V191),"",OFFSET('Smelter Look-up'!$C$4,$V191-4,0)&amp;"")</f>
        <v>Mineracao Taboca S.A.</v>
      </c>
      <c r="S191" s="225" t="str">
        <f t="shared" ca="1" si="24"/>
        <v>BR</v>
      </c>
      <c r="T191" s="225" t="str">
        <f ca="1">IF(B191="","",IF(ISERROR(MATCH($J191,SorP!$B$1:$B$6230,0)),"",INDIRECT("'SorP'!$A$"&amp;MATCH($J191,SorP!$B$1:$B$6230,0))))</f>
        <v>BR-AM</v>
      </c>
      <c r="U191" s="241"/>
      <c r="V191" s="275">
        <f>IF(C191="",NA(),MATCH($B191&amp;$C191,'Smelter Look-up'!$J:$J,0))</f>
        <v>325</v>
      </c>
      <c r="W191" s="276"/>
      <c r="X191" s="276">
        <f t="shared" ca="1" si="25"/>
        <v>0</v>
      </c>
      <c r="Y191" s="276"/>
      <c r="Z191" s="276"/>
      <c r="AB191" s="278" t="str">
        <f t="shared" si="26"/>
        <v>TantalumMineração Taboca S.A.</v>
      </c>
    </row>
    <row r="192" spans="1:28" s="277" customFormat="1" ht="27.95" customHeight="1">
      <c r="A192" s="216"/>
      <c r="B192" s="217" t="s">
        <v>1155</v>
      </c>
      <c r="C192" s="221" t="s">
        <v>1142</v>
      </c>
      <c r="D192" s="283"/>
      <c r="E192" s="217" t="str">
        <f ca="1">IF(ISERROR($V192),"",OFFSET('Smelter Look-up'!$D$4,$V192-4,0)&amp;"")</f>
        <v>JAPAN</v>
      </c>
      <c r="F192" s="217" t="str">
        <f ca="1">IF(ISERROR($V192),"",OFFSET('Smelter Look-up'!$E$4,$V192-4,0))</f>
        <v>CID001192</v>
      </c>
      <c r="G192" s="217" t="str">
        <f ca="1">IF(C192=$X$4,"Enter smelter details",IF(ISERROR($V192),"",OFFSET('Smelter Look-up'!$F$4,$V192-4,0)))</f>
        <v>RMI</v>
      </c>
      <c r="H192" s="218">
        <f ca="1">IF(ISERROR($V192),"",OFFSET('Smelter Look-up'!$G$4,$V192-4,0))</f>
        <v>0</v>
      </c>
      <c r="I192" s="219" t="str">
        <f ca="1">IF(ISERROR($V192),"",OFFSET('Smelter Look-up'!$H$4,$V192-4,0))</f>
        <v>Omuta</v>
      </c>
      <c r="J192" s="219" t="str">
        <f ca="1">IF(ISERROR($V192),"",OFFSET('Smelter Look-up'!$I$4,$V192-4,0))</f>
        <v>Fukuoka</v>
      </c>
      <c r="K192" s="273"/>
      <c r="L192" s="273"/>
      <c r="M192" s="273"/>
      <c r="N192" s="273"/>
      <c r="O192" s="273"/>
      <c r="P192" s="220"/>
      <c r="Q192" s="274"/>
      <c r="R192" s="217" t="str">
        <f ca="1">IF(ISERROR($V192),"",OFFSET('Smelter Look-up'!$C$4,$V192-4,0)&amp;"")</f>
        <v>Mitsui Mining and Smelting Co., Ltd.</v>
      </c>
      <c r="S192" s="225" t="str">
        <f t="shared" ca="1" si="24"/>
        <v>JP</v>
      </c>
      <c r="T192" s="225" t="str">
        <f ca="1">IF(B192="","",IF(ISERROR(MATCH($J192,SorP!$B$1:$B$6230,0)),"",INDIRECT("'SorP'!$A$"&amp;MATCH($J192,SorP!$B$1:$B$6230,0))))</f>
        <v>JP-40</v>
      </c>
      <c r="U192" s="241"/>
      <c r="V192" s="275">
        <f>IF(C192="",NA(),MATCH($B192&amp;$C192,'Smelter Look-up'!$J:$J,0))</f>
        <v>327</v>
      </c>
      <c r="W192" s="276"/>
      <c r="X192" s="276">
        <f t="shared" ca="1" si="25"/>
        <v>0</v>
      </c>
      <c r="Y192" s="276"/>
      <c r="Z192" s="276"/>
      <c r="AB192" s="278" t="str">
        <f t="shared" si="26"/>
        <v>TantalumMitsui Mining &amp; Smelting</v>
      </c>
    </row>
    <row r="193" spans="1:28" s="277" customFormat="1" ht="27.95" customHeight="1">
      <c r="A193" s="216"/>
      <c r="B193" s="217" t="s">
        <v>1155</v>
      </c>
      <c r="C193" s="221" t="s">
        <v>1053</v>
      </c>
      <c r="D193" s="283"/>
      <c r="E193" s="217" t="str">
        <f ca="1">IF(ISERROR($V193),"",OFFSET('Smelter Look-up'!$D$4,$V193-4,0)&amp;"")</f>
        <v>CHINA</v>
      </c>
      <c r="F193" s="217" t="str">
        <f ca="1">IF(ISERROR($V193),"",OFFSET('Smelter Look-up'!$E$4,$V193-4,0))</f>
        <v>CID001277</v>
      </c>
      <c r="G193" s="217" t="str">
        <f ca="1">IF(C193=$X$4,"Enter smelter details",IF(ISERROR($V193),"",OFFSET('Smelter Look-up'!$F$4,$V193-4,0)))</f>
        <v>RMI</v>
      </c>
      <c r="H193" s="218">
        <f ca="1">IF(ISERROR($V193),"",OFFSET('Smelter Look-up'!$G$4,$V193-4,0))</f>
        <v>0</v>
      </c>
      <c r="I193" s="219" t="str">
        <f ca="1">IF(ISERROR($V193),"",OFFSET('Smelter Look-up'!$H$4,$V193-4,0))</f>
        <v>Shizuishan City</v>
      </c>
      <c r="J193" s="219" t="str">
        <f ca="1">IF(ISERROR($V193),"",OFFSET('Smelter Look-up'!$I$4,$V193-4,0))</f>
        <v>Ningxia Huizi Zizhiqu</v>
      </c>
      <c r="K193" s="273"/>
      <c r="L193" s="273"/>
      <c r="M193" s="273"/>
      <c r="N193" s="273"/>
      <c r="O193" s="273"/>
      <c r="P193" s="220"/>
      <c r="Q193" s="274"/>
      <c r="R193" s="217" t="str">
        <f ca="1">IF(ISERROR($V193),"",OFFSET('Smelter Look-up'!$C$4,$V193-4,0)&amp;"")</f>
        <v>Ningxia Orient Tantalum Industry Co., Ltd.</v>
      </c>
      <c r="S193" s="225" t="str">
        <f t="shared" ca="1" si="24"/>
        <v>CN</v>
      </c>
      <c r="T193" s="225" t="str">
        <f ca="1">IF(B193="","",IF(ISERROR(MATCH($J193,SorP!$B$1:$B$6230,0)),"",INDIRECT("'SorP'!$A$"&amp;MATCH($J193,SorP!$B$1:$B$6230,0))))</f>
        <v>CN-NX</v>
      </c>
      <c r="U193" s="241"/>
      <c r="V193" s="275">
        <f>IF(C193="",NA(),MATCH($B193&amp;$C193,'Smelter Look-up'!$J:$J,0))</f>
        <v>331</v>
      </c>
      <c r="W193" s="276"/>
      <c r="X193" s="276">
        <f t="shared" ca="1" si="25"/>
        <v>0</v>
      </c>
      <c r="Y193" s="276"/>
      <c r="Z193" s="276"/>
      <c r="AB193" s="278" t="str">
        <f t="shared" si="26"/>
        <v>TantalumNingxia Orient Tantalum Industry Co., Ltd.</v>
      </c>
    </row>
    <row r="194" spans="1:28" s="277" customFormat="1" ht="27.95" customHeight="1">
      <c r="A194" s="216"/>
      <c r="B194" s="217" t="s">
        <v>1155</v>
      </c>
      <c r="C194" s="221" t="s">
        <v>2675</v>
      </c>
      <c r="D194" s="283"/>
      <c r="E194" s="217" t="str">
        <f ca="1">IF(ISERROR($V194),"",OFFSET('Smelter Look-up'!$D$4,$V194-4,0)&amp;"")</f>
        <v>ESTONIA</v>
      </c>
      <c r="F194" s="217" t="str">
        <f ca="1">IF(ISERROR($V194),"",OFFSET('Smelter Look-up'!$E$4,$V194-4,0))</f>
        <v>CID001200</v>
      </c>
      <c r="G194" s="217" t="str">
        <f ca="1">IF(C194=$X$4,"Enter smelter details",IF(ISERROR($V194),"",OFFSET('Smelter Look-up'!$F$4,$V194-4,0)))</f>
        <v>RMI</v>
      </c>
      <c r="H194" s="218">
        <f ca="1">IF(ISERROR($V194),"",OFFSET('Smelter Look-up'!$G$4,$V194-4,0))</f>
        <v>0</v>
      </c>
      <c r="I194" s="219" t="str">
        <f ca="1">IF(ISERROR($V194),"",OFFSET('Smelter Look-up'!$H$4,$V194-4,0))</f>
        <v>Sillamäe</v>
      </c>
      <c r="J194" s="219" t="str">
        <f ca="1">IF(ISERROR($V194),"",OFFSET('Smelter Look-up'!$I$4,$V194-4,0))</f>
        <v>Ida-Virumaa</v>
      </c>
      <c r="K194" s="273"/>
      <c r="L194" s="273"/>
      <c r="M194" s="273"/>
      <c r="N194" s="273"/>
      <c r="O194" s="273"/>
      <c r="P194" s="220"/>
      <c r="Q194" s="274"/>
      <c r="R194" s="217" t="str">
        <f ca="1">IF(ISERROR($V194),"",OFFSET('Smelter Look-up'!$C$4,$V194-4,0)&amp;"")</f>
        <v>NPM Silmet AS</v>
      </c>
      <c r="S194" s="225" t="str">
        <f t="shared" ca="1" si="24"/>
        <v>EE</v>
      </c>
      <c r="T194" s="225" t="str">
        <f ca="1">IF(B194="","",IF(ISERROR(MATCH($J194,SorP!$B$1:$B$6230,0)),"",INDIRECT("'SorP'!$A$"&amp;MATCH($J194,SorP!$B$1:$B$6230,0))))</f>
        <v>EE-44</v>
      </c>
      <c r="U194" s="241"/>
      <c r="V194" s="275">
        <f>IF(C194="",NA(),MATCH($B194&amp;$C194,'Smelter Look-up'!$J:$J,0))</f>
        <v>332</v>
      </c>
      <c r="W194" s="276"/>
      <c r="X194" s="276">
        <f t="shared" ca="1" si="25"/>
        <v>0</v>
      </c>
      <c r="Y194" s="276"/>
      <c r="Z194" s="276"/>
      <c r="AB194" s="278" t="str">
        <f t="shared" si="26"/>
        <v>TantalumNPM Silmet AS</v>
      </c>
    </row>
    <row r="195" spans="1:28" s="277" customFormat="1" ht="27.95" customHeight="1">
      <c r="A195" s="216"/>
      <c r="B195" s="217" t="s">
        <v>1155</v>
      </c>
      <c r="C195" s="221" t="s">
        <v>14221</v>
      </c>
      <c r="D195" s="283"/>
      <c r="E195" s="217" t="str">
        <f ca="1">IF(ISERROR($V195),"",OFFSET('Smelter Look-up'!$D$4,$V195-4,0)&amp;"")</f>
        <v>NORTH MACEDONIA</v>
      </c>
      <c r="F195" s="217" t="str">
        <f ca="1">IF(ISERROR($V195),"",OFFSET('Smelter Look-up'!$E$4,$V195-4,0))</f>
        <v>CID002847</v>
      </c>
      <c r="G195" s="217" t="str">
        <f ca="1">IF(C195=$X$4,"Enter smelter details",IF(ISERROR($V195),"",OFFSET('Smelter Look-up'!$F$4,$V195-4,0)))</f>
        <v>RMI</v>
      </c>
      <c r="H195" s="218">
        <f ca="1">IF(ISERROR($V195),"",OFFSET('Smelter Look-up'!$G$4,$V195-4,0))</f>
        <v>0</v>
      </c>
      <c r="I195" s="219" t="str">
        <f ca="1">IF(ISERROR($V195),"",OFFSET('Smelter Look-up'!$H$4,$V195-4,0))</f>
        <v>Skopje</v>
      </c>
      <c r="J195" s="219" t="str">
        <f ca="1">IF(ISERROR($V195),"",OFFSET('Smelter Look-up'!$I$4,$V195-4,0))</f>
        <v>Skopje</v>
      </c>
      <c r="K195" s="273"/>
      <c r="L195" s="273"/>
      <c r="M195" s="273"/>
      <c r="N195" s="273"/>
      <c r="O195" s="273"/>
      <c r="P195" s="220"/>
      <c r="Q195" s="274"/>
      <c r="R195" s="217" t="str">
        <f ca="1">IF(ISERROR($V195),"",OFFSET('Smelter Look-up'!$C$4,$V195-4,0)&amp;"")</f>
        <v>PRG Dooel</v>
      </c>
      <c r="S195" s="225" t="str">
        <f t="shared" ca="1" si="24"/>
        <v>MK</v>
      </c>
      <c r="T195" s="225" t="str">
        <f ca="1">IF(B195="","",IF(ISERROR(MATCH($J195,SorP!$B$1:$B$6230,0)),"",INDIRECT("'SorP'!$A$"&amp;MATCH($J195,SorP!$B$1:$B$6230,0))))</f>
        <v>MK-85</v>
      </c>
      <c r="U195" s="241"/>
      <c r="V195" s="275">
        <f>IF(C195="",NA(),MATCH($B195&amp;$C195,'Smelter Look-up'!$J:$J,0))</f>
        <v>335</v>
      </c>
      <c r="W195" s="276"/>
      <c r="X195" s="276">
        <f t="shared" ca="1" si="25"/>
        <v>0</v>
      </c>
      <c r="Y195" s="276"/>
      <c r="Z195" s="276"/>
      <c r="AB195" s="278" t="str">
        <f t="shared" si="26"/>
        <v>TantalumPRG Dooel</v>
      </c>
    </row>
    <row r="196" spans="1:28" s="277" customFormat="1" ht="27.95" customHeight="1">
      <c r="A196" s="216"/>
      <c r="B196" s="217" t="s">
        <v>1155</v>
      </c>
      <c r="C196" s="221" t="s">
        <v>840</v>
      </c>
      <c r="D196" s="283"/>
      <c r="E196" s="217" t="str">
        <f ca="1">IF(ISERROR($V196),"",OFFSET('Smelter Look-up'!$D$4,$V196-4,0)&amp;"")</f>
        <v>UNITED STATES OF AMERICA</v>
      </c>
      <c r="F196" s="217" t="str">
        <f ca="1">IF(ISERROR($V196),"",OFFSET('Smelter Look-up'!$E$4,$V196-4,0))</f>
        <v>CID001508</v>
      </c>
      <c r="G196" s="217" t="str">
        <f ca="1">IF(C196=$X$4,"Enter smelter details",IF(ISERROR($V196),"",OFFSET('Smelter Look-up'!$F$4,$V196-4,0)))</f>
        <v>RMI</v>
      </c>
      <c r="H196" s="218">
        <f ca="1">IF(ISERROR($V196),"",OFFSET('Smelter Look-up'!$G$4,$V196-4,0))</f>
        <v>0</v>
      </c>
      <c r="I196" s="219" t="str">
        <f ca="1">IF(ISERROR($V196),"",OFFSET('Smelter Look-up'!$H$4,$V196-4,0))</f>
        <v>Carrollton</v>
      </c>
      <c r="J196" s="219" t="str">
        <f ca="1">IF(ISERROR($V196),"",OFFSET('Smelter Look-up'!$I$4,$V196-4,0))</f>
        <v>Texas</v>
      </c>
      <c r="K196" s="273"/>
      <c r="L196" s="273"/>
      <c r="M196" s="273"/>
      <c r="N196" s="273"/>
      <c r="O196" s="273"/>
      <c r="P196" s="220"/>
      <c r="Q196" s="274"/>
      <c r="R196" s="217" t="str">
        <f ca="1">IF(ISERROR($V196),"",OFFSET('Smelter Look-up'!$C$4,$V196-4,0)&amp;"")</f>
        <v>QuantumClean</v>
      </c>
      <c r="S196" s="225" t="str">
        <f t="shared" ca="1" si="24"/>
        <v>US</v>
      </c>
      <c r="T196" s="225" t="str">
        <f ca="1">IF(B196="","",IF(ISERROR(MATCH($J196,SorP!$B$1:$B$6230,0)),"",INDIRECT("'SorP'!$A$"&amp;MATCH($J196,SorP!$B$1:$B$6230,0))))</f>
        <v>US-TX</v>
      </c>
      <c r="U196" s="241"/>
      <c r="V196" s="275">
        <f>IF(C196="",NA(),MATCH($B196&amp;$C196,'Smelter Look-up'!$J:$J,0))</f>
        <v>336</v>
      </c>
      <c r="W196" s="276"/>
      <c r="X196" s="276">
        <f t="shared" ca="1" si="25"/>
        <v>0</v>
      </c>
      <c r="Y196" s="276"/>
      <c r="Z196" s="276"/>
      <c r="AB196" s="278" t="str">
        <f t="shared" si="26"/>
        <v>TantalumQuantumClean</v>
      </c>
    </row>
    <row r="197" spans="1:28" s="277" customFormat="1" ht="27.95" customHeight="1">
      <c r="A197" s="216"/>
      <c r="B197" s="217" t="s">
        <v>1155</v>
      </c>
      <c r="C197" s="221" t="s">
        <v>2329</v>
      </c>
      <c r="D197" s="283"/>
      <c r="E197" s="217" t="str">
        <f ca="1">IF(ISERROR($V197),"",OFFSET('Smelter Look-up'!$D$4,$V197-4,0)&amp;"")</f>
        <v>BRAZIL</v>
      </c>
      <c r="F197" s="217" t="str">
        <f ca="1">IF(ISERROR($V197),"",OFFSET('Smelter Look-up'!$E$4,$V197-4,0))</f>
        <v>CID002707</v>
      </c>
      <c r="G197" s="217" t="str">
        <f ca="1">IF(C197=$X$4,"Enter smelter details",IF(ISERROR($V197),"",OFFSET('Smelter Look-up'!$F$4,$V197-4,0)))</f>
        <v>RMI</v>
      </c>
      <c r="H197" s="218">
        <f ca="1">IF(ISERROR($V197),"",OFFSET('Smelter Look-up'!$G$4,$V197-4,0))</f>
        <v>0</v>
      </c>
      <c r="I197" s="219" t="str">
        <f ca="1">IF(ISERROR($V197),"",OFFSET('Smelter Look-up'!$H$4,$V197-4,0))</f>
        <v>São João del Rei</v>
      </c>
      <c r="J197" s="219" t="str">
        <f ca="1">IF(ISERROR($V197),"",OFFSET('Smelter Look-up'!$I$4,$V197-4,0))</f>
        <v>Minas gerais</v>
      </c>
      <c r="K197" s="273"/>
      <c r="L197" s="273"/>
      <c r="M197" s="273"/>
      <c r="N197" s="273"/>
      <c r="O197" s="273"/>
      <c r="P197" s="220"/>
      <c r="Q197" s="274"/>
      <c r="R197" s="217" t="str">
        <f ca="1">IF(ISERROR($V197),"",OFFSET('Smelter Look-up'!$C$4,$V197-4,0)&amp;"")</f>
        <v>Resind Industria e Comercio Ltda.</v>
      </c>
      <c r="S197" s="225" t="str">
        <f t="shared" ref="S197" ca="1" si="27">IF(B197="","",IF(ISERROR(MATCH($E197,CL,0)),"Unknown",INDIRECT("'C'!$A$"&amp;MATCH($E197,CL,0)+1)))</f>
        <v>BR</v>
      </c>
      <c r="T197" s="225" t="str">
        <f ca="1">IF(B197="","",IF(ISERROR(MATCH($J197,SorP!$B$1:$B$6230,0)),"",INDIRECT("'SorP'!$A$"&amp;MATCH($J197,SorP!$B$1:$B$6230,0))))</f>
        <v>BR-MG</v>
      </c>
      <c r="U197" s="241"/>
      <c r="V197" s="275">
        <f>IF(C197="",NA(),MATCH($B197&amp;$C197,'Smelter Look-up'!$J:$J,0))</f>
        <v>339</v>
      </c>
      <c r="W197" s="276"/>
      <c r="X197" s="276">
        <f t="shared" ref="X197" ca="1" si="28">IF(AND(C197="Smelter not listed",OR(LEN(D197)=0,LEN(E197)=0)),1,0)</f>
        <v>0</v>
      </c>
      <c r="Y197" s="276"/>
      <c r="Z197" s="276"/>
      <c r="AB197" s="278" t="str">
        <f t="shared" ref="AB197" si="29">B197&amp;C197</f>
        <v>TantalumResind Indústria e Comércio Ltda.</v>
      </c>
    </row>
    <row r="198" spans="1:28" s="277" customFormat="1" ht="27.95" customHeight="1">
      <c r="A198" s="216"/>
      <c r="B198" s="217" t="s">
        <v>1155</v>
      </c>
      <c r="C198" s="221" t="s">
        <v>1401</v>
      </c>
      <c r="D198" s="283"/>
      <c r="E198" s="217" t="str">
        <f ca="1">IF(ISERROR($V198),"",OFFSET('Smelter Look-up'!$D$4,$V198-4,0)&amp;"")</f>
        <v>RUSSIAN FEDERATION</v>
      </c>
      <c r="F198" s="217" t="str">
        <f ca="1">IF(ISERROR($V198),"",OFFSET('Smelter Look-up'!$E$4,$V198-4,0))</f>
        <v>CID001769</v>
      </c>
      <c r="G198" s="217" t="str">
        <f ca="1">IF(C198=$X$4,"Enter smelter details",IF(ISERROR($V198),"",OFFSET('Smelter Look-up'!$F$4,$V198-4,0)))</f>
        <v>RMI</v>
      </c>
      <c r="H198" s="218">
        <f ca="1">IF(ISERROR($V198),"",OFFSET('Smelter Look-up'!$G$4,$V198-4,0))</f>
        <v>0</v>
      </c>
      <c r="I198" s="219" t="str">
        <f ca="1">IF(ISERROR($V198),"",OFFSET('Smelter Look-up'!$H$4,$V198-4,0))</f>
        <v>Solikamsk</v>
      </c>
      <c r="J198" s="219" t="str">
        <f ca="1">IF(ISERROR($V198),"",OFFSET('Smelter Look-up'!$I$4,$V198-4,0))</f>
        <v>Permskiy kray</v>
      </c>
      <c r="K198" s="273"/>
      <c r="L198" s="273"/>
      <c r="M198" s="273"/>
      <c r="N198" s="273"/>
      <c r="O198" s="273"/>
      <c r="P198" s="220"/>
      <c r="Q198" s="274"/>
      <c r="R198" s="217" t="str">
        <f ca="1">IF(ISERROR($V198),"",OFFSET('Smelter Look-up'!$C$4,$V198-4,0)&amp;"")</f>
        <v>Solikamsk Magnesium Works OAO</v>
      </c>
      <c r="S198" s="225" t="str">
        <f t="shared" ref="S198:S229" ca="1" si="30">IF(B198="","",IF(ISERROR(MATCH($E198,CL,0)),"Unknown",INDIRECT("'C'!$A$"&amp;MATCH($E198,CL,0)+1)))</f>
        <v>RU</v>
      </c>
      <c r="T198" s="225" t="str">
        <f ca="1">IF(B198="","",IF(ISERROR(MATCH($J198,SorP!$B$1:$B$6230,0)),"",INDIRECT("'SorP'!$A$"&amp;MATCH($J198,SorP!$B$1:$B$6230,0))))</f>
        <v>RU-PER</v>
      </c>
      <c r="U198" s="241"/>
      <c r="V198" s="275">
        <f>IF(C198="",NA(),MATCH($B198&amp;$C198,'Smelter Look-up'!$J:$J,0))</f>
        <v>343</v>
      </c>
      <c r="W198" s="276"/>
      <c r="X198" s="276">
        <f t="shared" ref="X198:X229" ca="1" si="31">IF(AND(C198="Smelter not listed",OR(LEN(D198)=0,LEN(E198)=0)),1,0)</f>
        <v>0</v>
      </c>
      <c r="Y198" s="276"/>
      <c r="Z198" s="276"/>
      <c r="AB198" s="278" t="str">
        <f t="shared" ref="AB198:AB229" si="32">B198&amp;C198</f>
        <v>TantalumSolikamsk Magnesium Works OAO</v>
      </c>
    </row>
    <row r="199" spans="1:28" s="277" customFormat="1" ht="27.95" customHeight="1">
      <c r="A199" s="216"/>
      <c r="B199" s="217" t="s">
        <v>1155</v>
      </c>
      <c r="C199" s="221" t="s">
        <v>2589</v>
      </c>
      <c r="D199" s="283"/>
      <c r="E199" s="217" t="str">
        <f ca="1">IF(ISERROR($V199),"",OFFSET('Smelter Look-up'!$D$4,$V199-4,0)&amp;"")</f>
        <v>JAPAN</v>
      </c>
      <c r="F199" s="217" t="str">
        <f ca="1">IF(ISERROR($V199),"",OFFSET('Smelter Look-up'!$E$4,$V199-4,0))</f>
        <v>CID001869</v>
      </c>
      <c r="G199" s="217" t="str">
        <f ca="1">IF(C199=$X$4,"Enter smelter details",IF(ISERROR($V199),"",OFFSET('Smelter Look-up'!$F$4,$V199-4,0)))</f>
        <v>RMI</v>
      </c>
      <c r="H199" s="218">
        <f ca="1">IF(ISERROR($V199),"",OFFSET('Smelter Look-up'!$G$4,$V199-4,0))</f>
        <v>0</v>
      </c>
      <c r="I199" s="219" t="str">
        <f ca="1">IF(ISERROR($V199),"",OFFSET('Smelter Look-up'!$H$4,$V199-4,0))</f>
        <v>Harima</v>
      </c>
      <c r="J199" s="219" t="str">
        <f ca="1">IF(ISERROR($V199),"",OFFSET('Smelter Look-up'!$I$4,$V199-4,0))</f>
        <v>Hyogo</v>
      </c>
      <c r="K199" s="273"/>
      <c r="L199" s="273"/>
      <c r="M199" s="273"/>
      <c r="N199" s="273"/>
      <c r="O199" s="273"/>
      <c r="P199" s="220"/>
      <c r="Q199" s="274"/>
      <c r="R199" s="217" t="str">
        <f ca="1">IF(ISERROR($V199),"",OFFSET('Smelter Look-up'!$C$4,$V199-4,0)&amp;"")</f>
        <v>Taki Chemical Co., Ltd.</v>
      </c>
      <c r="S199" s="225" t="str">
        <f t="shared" ca="1" si="30"/>
        <v>JP</v>
      </c>
      <c r="T199" s="225" t="str">
        <f ca="1">IF(B199="","",IF(ISERROR(MATCH($J199,SorP!$B$1:$B$6230,0)),"",INDIRECT("'SorP'!$A$"&amp;MATCH($J199,SorP!$B$1:$B$6230,0))))</f>
        <v>JP-28</v>
      </c>
      <c r="U199" s="241"/>
      <c r="V199" s="275">
        <f>IF(C199="",NA(),MATCH($B199&amp;$C199,'Smelter Look-up'!$J:$J,0))</f>
        <v>345</v>
      </c>
      <c r="W199" s="276"/>
      <c r="X199" s="276">
        <f t="shared" ca="1" si="31"/>
        <v>0</v>
      </c>
      <c r="Y199" s="276"/>
      <c r="Z199" s="276"/>
      <c r="AB199" s="278" t="str">
        <f t="shared" si="32"/>
        <v>TantalumTaki Chemical Co., Ltd.</v>
      </c>
    </row>
    <row r="200" spans="1:28" s="277" customFormat="1" ht="27.95" customHeight="1">
      <c r="A200" s="216"/>
      <c r="B200" s="217" t="s">
        <v>1155</v>
      </c>
      <c r="C200" s="221" t="s">
        <v>1772</v>
      </c>
      <c r="D200" s="283"/>
      <c r="E200" s="217" t="str">
        <f ca="1">IF(ISERROR($V200),"",OFFSET('Smelter Look-up'!$D$4,$V200-4,0)&amp;"")</f>
        <v>UNITED STATES OF AMERICA</v>
      </c>
      <c r="F200" s="217" t="str">
        <f ca="1">IF(ISERROR($V200),"",OFFSET('Smelter Look-up'!$E$4,$V200-4,0))</f>
        <v>CID001891</v>
      </c>
      <c r="G200" s="217" t="str">
        <f ca="1">IF(C200=$X$4,"Enter smelter details",IF(ISERROR($V200),"",OFFSET('Smelter Look-up'!$F$4,$V200-4,0)))</f>
        <v>RMI</v>
      </c>
      <c r="H200" s="218">
        <f ca="1">IF(ISERROR($V200),"",OFFSET('Smelter Look-up'!$G$4,$V200-4,0))</f>
        <v>0</v>
      </c>
      <c r="I200" s="219" t="str">
        <f ca="1">IF(ISERROR($V200),"",OFFSET('Smelter Look-up'!$H$4,$V200-4,0))</f>
        <v>Croydon</v>
      </c>
      <c r="J200" s="219" t="str">
        <f ca="1">IF(ISERROR($V200),"",OFFSET('Smelter Look-up'!$I$4,$V200-4,0))</f>
        <v>Pennsylvania</v>
      </c>
      <c r="K200" s="273"/>
      <c r="L200" s="273"/>
      <c r="M200" s="273"/>
      <c r="N200" s="273"/>
      <c r="O200" s="273"/>
      <c r="P200" s="220"/>
      <c r="Q200" s="274"/>
      <c r="R200" s="217" t="str">
        <f ca="1">IF(ISERROR($V200),"",OFFSET('Smelter Look-up'!$C$4,$V200-4,0)&amp;"")</f>
        <v>Telex Metals</v>
      </c>
      <c r="S200" s="225" t="str">
        <f t="shared" ca="1" si="30"/>
        <v>US</v>
      </c>
      <c r="T200" s="225" t="str">
        <f ca="1">IF(B200="","",IF(ISERROR(MATCH($J200,SorP!$B$1:$B$6230,0)),"",INDIRECT("'SorP'!$A$"&amp;MATCH($J200,SorP!$B$1:$B$6230,0))))</f>
        <v>US-PA</v>
      </c>
      <c r="U200" s="241"/>
      <c r="V200" s="275">
        <f>IF(C200="",NA(),MATCH($B200&amp;$C200,'Smelter Look-up'!$J:$J,0))</f>
        <v>347</v>
      </c>
      <c r="W200" s="276"/>
      <c r="X200" s="276">
        <f t="shared" ca="1" si="31"/>
        <v>0</v>
      </c>
      <c r="Y200" s="276"/>
      <c r="Z200" s="276"/>
      <c r="AB200" s="278" t="str">
        <f t="shared" si="32"/>
        <v>TantalumTelex Metals</v>
      </c>
    </row>
    <row r="201" spans="1:28" s="277" customFormat="1" ht="27.95" customHeight="1">
      <c r="A201" s="216"/>
      <c r="B201" s="217" t="s">
        <v>1155</v>
      </c>
      <c r="C201" s="221" t="s">
        <v>1775</v>
      </c>
      <c r="D201" s="283"/>
      <c r="E201" s="217" t="str">
        <f ca="1">IF(ISERROR($V201),"",OFFSET('Smelter Look-up'!$D$4,$V201-4,0)&amp;"")</f>
        <v>KAZAKHSTAN</v>
      </c>
      <c r="F201" s="217" t="str">
        <f ca="1">IF(ISERROR($V201),"",OFFSET('Smelter Look-up'!$E$4,$V201-4,0))</f>
        <v>CID001969</v>
      </c>
      <c r="G201" s="217" t="str">
        <f ca="1">IF(C201=$X$4,"Enter smelter details",IF(ISERROR($V201),"",OFFSET('Smelter Look-up'!$F$4,$V201-4,0)))</f>
        <v>RMI</v>
      </c>
      <c r="H201" s="218">
        <f ca="1">IF(ISERROR($V201),"",OFFSET('Smelter Look-up'!$G$4,$V201-4,0))</f>
        <v>0</v>
      </c>
      <c r="I201" s="219" t="str">
        <f ca="1">IF(ISERROR($V201),"",OFFSET('Smelter Look-up'!$H$4,$V201-4,0))</f>
        <v>Ust-Kamenogorsk</v>
      </c>
      <c r="J201" s="219" t="str">
        <f ca="1">IF(ISERROR($V201),"",OFFSET('Smelter Look-up'!$I$4,$V201-4,0))</f>
        <v>Qaraghandy oblysy</v>
      </c>
      <c r="K201" s="273"/>
      <c r="L201" s="273"/>
      <c r="M201" s="273"/>
      <c r="N201" s="273"/>
      <c r="O201" s="273"/>
      <c r="P201" s="220"/>
      <c r="Q201" s="274"/>
      <c r="R201" s="217" t="str">
        <f ca="1">IF(ISERROR($V201),"",OFFSET('Smelter Look-up'!$C$4,$V201-4,0)&amp;"")</f>
        <v>Ulba Metallurgical Plant JSC</v>
      </c>
      <c r="S201" s="225" t="str">
        <f t="shared" ca="1" si="30"/>
        <v>KZ</v>
      </c>
      <c r="T201" s="225" t="str">
        <f ca="1">IF(B201="","",IF(ISERROR(MATCH($J201,SorP!$B$1:$B$6230,0)),"",INDIRECT("'SorP'!$A$"&amp;MATCH($J201,SorP!$B$1:$B$6230,0))))</f>
        <v>KZ-KAR</v>
      </c>
      <c r="U201" s="241"/>
      <c r="V201" s="275">
        <f>IF(C201="",NA(),MATCH($B201&amp;$C201,'Smelter Look-up'!$J:$J,0))</f>
        <v>349</v>
      </c>
      <c r="W201" s="276"/>
      <c r="X201" s="276">
        <f t="shared" ca="1" si="31"/>
        <v>0</v>
      </c>
      <c r="Y201" s="276"/>
      <c r="Z201" s="276"/>
      <c r="AB201" s="278" t="str">
        <f t="shared" si="32"/>
        <v>TantalumUlba Metallurgical Plant JSC</v>
      </c>
    </row>
    <row r="202" spans="1:28" s="277" customFormat="1" ht="27.95" customHeight="1">
      <c r="A202" s="216"/>
      <c r="B202" s="217" t="s">
        <v>1155</v>
      </c>
      <c r="C202" s="221" t="s">
        <v>2277</v>
      </c>
      <c r="D202" s="283"/>
      <c r="E202" s="217" t="str">
        <f ca="1">IF(ISERROR($V202),"",OFFSET('Smelter Look-up'!$D$4,$V202-4,0)&amp;"")</f>
        <v>CHINA</v>
      </c>
      <c r="F202" s="217" t="str">
        <f ca="1">IF(ISERROR($V202),"",OFFSET('Smelter Look-up'!$E$4,$V202-4,0))</f>
        <v>CID002508</v>
      </c>
      <c r="G202" s="217" t="str">
        <f ca="1">IF(C202=$X$4,"Enter smelter details",IF(ISERROR($V202),"",OFFSET('Smelter Look-up'!$F$4,$V202-4,0)))</f>
        <v>RMI</v>
      </c>
      <c r="H202" s="218">
        <f ca="1">IF(ISERROR($V202),"",OFFSET('Smelter Look-up'!$G$4,$V202-4,0))</f>
        <v>0</v>
      </c>
      <c r="I202" s="219" t="str">
        <f ca="1">IF(ISERROR($V202),"",OFFSET('Smelter Look-up'!$H$4,$V202-4,0))</f>
        <v>YunFu City</v>
      </c>
      <c r="J202" s="219" t="str">
        <f ca="1">IF(ISERROR($V202),"",OFFSET('Smelter Look-up'!$I$4,$V202-4,0))</f>
        <v>Guangdong Sheng</v>
      </c>
      <c r="K202" s="273"/>
      <c r="L202" s="273"/>
      <c r="M202" s="273"/>
      <c r="N202" s="273"/>
      <c r="O202" s="273"/>
      <c r="P202" s="220"/>
      <c r="Q202" s="274"/>
      <c r="R202" s="217" t="str">
        <f ca="1">IF(ISERROR($V202),"",OFFSET('Smelter Look-up'!$C$4,$V202-4,0)&amp;"")</f>
        <v>XinXing HaoRong Electronic Material Co., Ltd.</v>
      </c>
      <c r="S202" s="225" t="str">
        <f t="shared" ca="1" si="30"/>
        <v>CN</v>
      </c>
      <c r="T202" s="225" t="str">
        <f ca="1">IF(B202="","",IF(ISERROR(MATCH($J202,SorP!$B$1:$B$6230,0)),"",INDIRECT("'SorP'!$A$"&amp;MATCH($J202,SorP!$B$1:$B$6230,0))))</f>
        <v>CN-GD</v>
      </c>
      <c r="U202" s="241"/>
      <c r="V202" s="275">
        <f>IF(C202="",NA(),MATCH($B202&amp;$C202,'Smelter Look-up'!$J:$J,0))</f>
        <v>350</v>
      </c>
      <c r="W202" s="276"/>
      <c r="X202" s="276">
        <f t="shared" ca="1" si="31"/>
        <v>0</v>
      </c>
      <c r="Y202" s="276"/>
      <c r="Z202" s="276"/>
      <c r="AB202" s="278" t="str">
        <f t="shared" si="32"/>
        <v>TantalumXinXing HaoRong Electronic Material Co., Ltd.</v>
      </c>
    </row>
    <row r="203" spans="1:28" s="277" customFormat="1" ht="27.95" customHeight="1">
      <c r="A203" s="216"/>
      <c r="B203" s="217" t="s">
        <v>1155</v>
      </c>
      <c r="C203" s="221" t="s">
        <v>13614</v>
      </c>
      <c r="D203" s="283"/>
      <c r="E203" s="217" t="str">
        <f ca="1">IF(ISERROR($V203),"",OFFSET('Smelter Look-up'!$D$4,$V203-4,0)&amp;"")</f>
        <v>CHINA</v>
      </c>
      <c r="F203" s="217" t="str">
        <f ca="1">IF(ISERROR($V203),"",OFFSET('Smelter Look-up'!$E$4,$V203-4,0))</f>
        <v>CID001522</v>
      </c>
      <c r="G203" s="217" t="str">
        <f ca="1">IF(C203=$X$4,"Enter smelter details",IF(ISERROR($V203),"",OFFSET('Smelter Look-up'!$F$4,$V203-4,0)))</f>
        <v>RMI</v>
      </c>
      <c r="H203" s="218">
        <f ca="1">IF(ISERROR($V203),"",OFFSET('Smelter Look-up'!$G$4,$V203-4,0))</f>
        <v>0</v>
      </c>
      <c r="I203" s="219" t="str">
        <f ca="1">IF(ISERROR($V203),"",OFFSET('Smelter Look-up'!$H$4,$V203-4,0))</f>
        <v>Zhuzhou</v>
      </c>
      <c r="J203" s="219" t="str">
        <f ca="1">IF(ISERROR($V203),"",OFFSET('Smelter Look-up'!$I$4,$V203-4,0))</f>
        <v>Hunan Sheng</v>
      </c>
      <c r="K203" s="273"/>
      <c r="L203" s="273"/>
      <c r="M203" s="273"/>
      <c r="N203" s="273"/>
      <c r="O203" s="273"/>
      <c r="P203" s="220"/>
      <c r="Q203" s="274"/>
      <c r="R203" s="217" t="str">
        <f ca="1">IF(ISERROR($V203),"",OFFSET('Smelter Look-up'!$C$4,$V203-4,0)&amp;"")</f>
        <v>Yanling Jincheng Tantalum &amp; Niobium Co., Ltd.</v>
      </c>
      <c r="S203" s="225" t="str">
        <f t="shared" ca="1" si="30"/>
        <v>CN</v>
      </c>
      <c r="T203" s="225" t="str">
        <f ca="1">IF(B203="","",IF(ISERROR(MATCH($J203,SorP!$B$1:$B$6230,0)),"",INDIRECT("'SorP'!$A$"&amp;MATCH($J203,SorP!$B$1:$B$6230,0))))</f>
        <v>CN-HN</v>
      </c>
      <c r="U203" s="241"/>
      <c r="V203" s="275">
        <f>IF(C203="",NA(),MATCH($B203&amp;$C203,'Smelter Look-up'!$J:$J,0))</f>
        <v>351</v>
      </c>
      <c r="W203" s="276"/>
      <c r="X203" s="276">
        <f t="shared" ca="1" si="31"/>
        <v>0</v>
      </c>
      <c r="Y203" s="276"/>
      <c r="Z203" s="276"/>
      <c r="AB203" s="278" t="str">
        <f t="shared" si="32"/>
        <v>TantalumYanling Jincheng Tantalum &amp; Niobium Co., Ltd.</v>
      </c>
    </row>
    <row r="204" spans="1:28" s="277" customFormat="1" ht="27.95" customHeight="1">
      <c r="A204" s="216"/>
      <c r="B204" s="217" t="s">
        <v>1154</v>
      </c>
      <c r="C204" s="221" t="s">
        <v>51</v>
      </c>
      <c r="D204" s="283"/>
      <c r="E204" s="217" t="str">
        <f ca="1">IF(ISERROR($V204),"",OFFSET('Smelter Look-up'!$D$4,$V204-4,0)&amp;"")</f>
        <v>UNITED STATES OF AMERICA</v>
      </c>
      <c r="F204" s="217" t="str">
        <f ca="1">IF(ISERROR($V204),"",OFFSET('Smelter Look-up'!$E$4,$V204-4,0))</f>
        <v>CID000292</v>
      </c>
      <c r="G204" s="217" t="str">
        <f ca="1">IF(C204=$X$4,"Enter smelter details",IF(ISERROR($V204),"",OFFSET('Smelter Look-up'!$F$4,$V204-4,0)))</f>
        <v>RMI</v>
      </c>
      <c r="H204" s="218">
        <f ca="1">IF(ISERROR($V204),"",OFFSET('Smelter Look-up'!$G$4,$V204-4,0))</f>
        <v>0</v>
      </c>
      <c r="I204" s="219" t="str">
        <f ca="1">IF(ISERROR($V204),"",OFFSET('Smelter Look-up'!$H$4,$V204-4,0))</f>
        <v>Altoona</v>
      </c>
      <c r="J204" s="219" t="str">
        <f ca="1">IF(ISERROR($V204),"",OFFSET('Smelter Look-up'!$I$4,$V204-4,0))</f>
        <v>Pennsylvania</v>
      </c>
      <c r="K204" s="273"/>
      <c r="L204" s="273"/>
      <c r="M204" s="273"/>
      <c r="N204" s="273"/>
      <c r="O204" s="273"/>
      <c r="P204" s="220"/>
      <c r="Q204" s="274"/>
      <c r="R204" s="217" t="str">
        <f ca="1">IF(ISERROR($V204),"",OFFSET('Smelter Look-up'!$C$4,$V204-4,0)&amp;"")</f>
        <v>Alpha</v>
      </c>
      <c r="S204" s="225" t="str">
        <f t="shared" ca="1" si="30"/>
        <v>US</v>
      </c>
      <c r="T204" s="225" t="str">
        <f ca="1">IF(B204="","",IF(ISERROR(MATCH($J204,SorP!$B$1:$B$6230,0)),"",INDIRECT("'SorP'!$A$"&amp;MATCH($J204,SorP!$B$1:$B$6230,0))))</f>
        <v>US-PA</v>
      </c>
      <c r="U204" s="241"/>
      <c r="V204" s="275">
        <f>IF(C204="",NA(),MATCH($B204&amp;$C204,'Smelter Look-up'!$J:$J,0))</f>
        <v>356</v>
      </c>
      <c r="W204" s="276"/>
      <c r="X204" s="276">
        <f t="shared" ca="1" si="31"/>
        <v>0</v>
      </c>
      <c r="Y204" s="276"/>
      <c r="Z204" s="276"/>
      <c r="AB204" s="278" t="str">
        <f t="shared" si="32"/>
        <v>TinAlpha</v>
      </c>
    </row>
    <row r="205" spans="1:28" s="277" customFormat="1" ht="27.95" customHeight="1">
      <c r="A205" s="216"/>
      <c r="B205" s="217" t="s">
        <v>1154</v>
      </c>
      <c r="C205" s="221" t="s">
        <v>2240</v>
      </c>
      <c r="D205" s="283"/>
      <c r="E205" s="217" t="str">
        <f ca="1">IF(ISERROR($V205),"",OFFSET('Smelter Look-up'!$D$4,$V205-4,0)&amp;"")</f>
        <v>VIET NAM</v>
      </c>
      <c r="F205" s="217" t="str">
        <f ca="1">IF(ISERROR($V205),"",OFFSET('Smelter Look-up'!$E$4,$V205-4,0))</f>
        <v>CID002703</v>
      </c>
      <c r="G205" s="217" t="str">
        <f ca="1">IF(C205=$X$4,"Enter smelter details",IF(ISERROR($V205),"",OFFSET('Smelter Look-up'!$F$4,$V205-4,0)))</f>
        <v>RMI</v>
      </c>
      <c r="H205" s="218">
        <f ca="1">IF(ISERROR($V205),"",OFFSET('Smelter Look-up'!$G$4,$V205-4,0))</f>
        <v>0</v>
      </c>
      <c r="I205" s="219" t="str">
        <f ca="1">IF(ISERROR($V205),"",OFFSET('Smelter Look-up'!$H$4,$V205-4,0))</f>
        <v>Quy Hop</v>
      </c>
      <c r="J205" s="219" t="str">
        <f ca="1">IF(ISERROR($V205),"",OFFSET('Smelter Look-up'!$I$4,$V205-4,0))</f>
        <v>Nghệ An</v>
      </c>
      <c r="K205" s="273"/>
      <c r="L205" s="273"/>
      <c r="M205" s="273"/>
      <c r="N205" s="273"/>
      <c r="O205" s="273"/>
      <c r="P205" s="220"/>
      <c r="Q205" s="274"/>
      <c r="R205" s="217" t="str">
        <f ca="1">IF(ISERROR($V205),"",OFFSET('Smelter Look-up'!$C$4,$V205-4,0)&amp;"")</f>
        <v>An Vinh Joint Stock Mineral Processing Company</v>
      </c>
      <c r="S205" s="225" t="str">
        <f t="shared" ca="1" si="30"/>
        <v>VN</v>
      </c>
      <c r="T205" s="225" t="str">
        <f ca="1">IF(B205="","",IF(ISERROR(MATCH($J205,SorP!$B$1:$B$6230,0)),"",INDIRECT("'SorP'!$A$"&amp;MATCH($J205,SorP!$B$1:$B$6230,0))))</f>
        <v>VN-22</v>
      </c>
      <c r="U205" s="241"/>
      <c r="V205" s="275">
        <f>IF(C205="",NA(),MATCH($B205&amp;$C205,'Smelter Look-up'!$J:$J,0))</f>
        <v>360</v>
      </c>
      <c r="W205" s="276"/>
      <c r="X205" s="276">
        <f t="shared" ca="1" si="31"/>
        <v>0</v>
      </c>
      <c r="Y205" s="276"/>
      <c r="Z205" s="276"/>
      <c r="AB205" s="278" t="str">
        <f t="shared" si="32"/>
        <v>TinAn Vinh Joint Stock Mineral Processing Company</v>
      </c>
    </row>
    <row r="206" spans="1:28" s="277" customFormat="1" ht="27.95" customHeight="1">
      <c r="A206" s="216"/>
      <c r="B206" s="217" t="s">
        <v>1154</v>
      </c>
      <c r="C206" s="221" t="s">
        <v>2463</v>
      </c>
      <c r="D206" s="283"/>
      <c r="E206" s="217" t="str">
        <f ca="1">IF(ISERROR($V206),"",OFFSET('Smelter Look-up'!$D$4,$V206-4,0)&amp;"")</f>
        <v>CHINA</v>
      </c>
      <c r="F206" s="217" t="str">
        <f ca="1">IF(ISERROR($V206),"",OFFSET('Smelter Look-up'!$E$4,$V206-4,0))</f>
        <v>CID000228</v>
      </c>
      <c r="G206" s="217" t="str">
        <f ca="1">IF(C206=$X$4,"Enter smelter details",IF(ISERROR($V206),"",OFFSET('Smelter Look-up'!$F$4,$V206-4,0)))</f>
        <v>RMI</v>
      </c>
      <c r="H206" s="218">
        <f ca="1">IF(ISERROR($V206),"",OFFSET('Smelter Look-up'!$G$4,$V206-4,0))</f>
        <v>0</v>
      </c>
      <c r="I206" s="219" t="str">
        <f ca="1">IF(ISERROR($V206),"",OFFSET('Smelter Look-up'!$H$4,$V206-4,0))</f>
        <v>Chenzhou</v>
      </c>
      <c r="J206" s="219" t="str">
        <f ca="1">IF(ISERROR($V206),"",OFFSET('Smelter Look-up'!$I$4,$V206-4,0))</f>
        <v>Hunan Sheng</v>
      </c>
      <c r="K206" s="273"/>
      <c r="L206" s="273"/>
      <c r="M206" s="273"/>
      <c r="N206" s="273"/>
      <c r="O206" s="273"/>
      <c r="P206" s="220"/>
      <c r="Q206" s="274"/>
      <c r="R206" s="217" t="str">
        <f ca="1">IF(ISERROR($V206),"",OFFSET('Smelter Look-up'!$C$4,$V206-4,0)&amp;"")</f>
        <v>Chenzhou Yunxiang Mining and Metallurgy Co., Ltd.</v>
      </c>
      <c r="S206" s="225" t="str">
        <f t="shared" ca="1" si="30"/>
        <v>CN</v>
      </c>
      <c r="T206" s="225" t="str">
        <f ca="1">IF(B206="","",IF(ISERROR(MATCH($J206,SorP!$B$1:$B$6230,0)),"",INDIRECT("'SorP'!$A$"&amp;MATCH($J206,SorP!$B$1:$B$6230,0))))</f>
        <v>CN-HN</v>
      </c>
      <c r="U206" s="241"/>
      <c r="V206" s="275">
        <f>IF(C206="",NA(),MATCH($B206&amp;$C206,'Smelter Look-up'!$J:$J,0))</f>
        <v>364</v>
      </c>
      <c r="W206" s="276"/>
      <c r="X206" s="276">
        <f t="shared" ca="1" si="31"/>
        <v>0</v>
      </c>
      <c r="Y206" s="276"/>
      <c r="Z206" s="276"/>
      <c r="AB206" s="278" t="str">
        <f t="shared" si="32"/>
        <v>TinChenzhou Yunxiang Mining and Metallurgy Co., Ltd.</v>
      </c>
    </row>
    <row r="207" spans="1:28" s="277" customFormat="1" ht="27.95" customHeight="1">
      <c r="A207" s="216"/>
      <c r="B207" s="217" t="s">
        <v>1154</v>
      </c>
      <c r="C207" s="221" t="s">
        <v>13264</v>
      </c>
      <c r="D207" s="283"/>
      <c r="E207" s="217" t="str">
        <f ca="1">IF(ISERROR($V207),"",OFFSET('Smelter Look-up'!$D$4,$V207-4,0)&amp;"")</f>
        <v>CHINA</v>
      </c>
      <c r="F207" s="217" t="str">
        <f ca="1">IF(ISERROR($V207),"",OFFSET('Smelter Look-up'!$E$4,$V207-4,0))</f>
        <v>CID003190</v>
      </c>
      <c r="G207" s="217" t="str">
        <f ca="1">IF(C207=$X$4,"Enter smelter details",IF(ISERROR($V207),"",OFFSET('Smelter Look-up'!$F$4,$V207-4,0)))</f>
        <v>RMI</v>
      </c>
      <c r="H207" s="218">
        <f ca="1">IF(ISERROR($V207),"",OFFSET('Smelter Look-up'!$G$4,$V207-4,0))</f>
        <v>0</v>
      </c>
      <c r="I207" s="219" t="str">
        <f ca="1">IF(ISERROR($V207),"",OFFSET('Smelter Look-up'!$H$4,$V207-4,0))</f>
        <v>Chifeng</v>
      </c>
      <c r="J207" s="219" t="str">
        <f ca="1">IF(ISERROR($V207),"",OFFSET('Smelter Look-up'!$I$4,$V207-4,0))</f>
        <v>Nei Mongol Zizhiqu</v>
      </c>
      <c r="K207" s="273"/>
      <c r="L207" s="273"/>
      <c r="M207" s="273"/>
      <c r="N207" s="273"/>
      <c r="O207" s="273"/>
      <c r="P207" s="220"/>
      <c r="Q207" s="274"/>
      <c r="R207" s="217" t="str">
        <f ca="1">IF(ISERROR($V207),"",OFFSET('Smelter Look-up'!$C$4,$V207-4,0)&amp;"")</f>
        <v>Chifeng Dajingzi Tin Industry Co., Ltd.</v>
      </c>
      <c r="S207" s="225" t="str">
        <f t="shared" ca="1" si="30"/>
        <v>CN</v>
      </c>
      <c r="T207" s="225" t="str">
        <f ca="1">IF(B207="","",IF(ISERROR(MATCH($J207,SorP!$B$1:$B$6230,0)),"",INDIRECT("'SorP'!$A$"&amp;MATCH($J207,SorP!$B$1:$B$6230,0))))</f>
        <v>CN-NM</v>
      </c>
      <c r="U207" s="241"/>
      <c r="V207" s="275">
        <f>IF(C207="",NA(),MATCH($B207&amp;$C207,'Smelter Look-up'!$J:$J,0))</f>
        <v>365</v>
      </c>
      <c r="W207" s="276"/>
      <c r="X207" s="276">
        <f t="shared" ca="1" si="31"/>
        <v>0</v>
      </c>
      <c r="Y207" s="276"/>
      <c r="Z207" s="276"/>
      <c r="AB207" s="278" t="str">
        <f t="shared" si="32"/>
        <v>TinChifeng Dajingzi Tin Industry Co., Ltd.</v>
      </c>
    </row>
    <row r="208" spans="1:28" s="277" customFormat="1" ht="27.95" customHeight="1">
      <c r="A208" s="216"/>
      <c r="B208" s="217" t="s">
        <v>1154</v>
      </c>
      <c r="C208" s="221" t="s">
        <v>1350</v>
      </c>
      <c r="D208" s="283"/>
      <c r="E208" s="217" t="str">
        <f ca="1">IF(ISERROR($V208),"",OFFSET('Smelter Look-up'!$D$4,$V208-4,0)&amp;"")</f>
        <v>CHINA</v>
      </c>
      <c r="F208" s="217" t="str">
        <f ca="1">IF(ISERROR($V208),"",OFFSET('Smelter Look-up'!$E$4,$V208-4,0))</f>
        <v>CID001070</v>
      </c>
      <c r="G208" s="217" t="str">
        <f ca="1">IF(C208=$X$4,"Enter smelter details",IF(ISERROR($V208),"",OFFSET('Smelter Look-up'!$F$4,$V208-4,0)))</f>
        <v>RMI</v>
      </c>
      <c r="H208" s="218">
        <f ca="1">IF(ISERROR($V208),"",OFFSET('Smelter Look-up'!$G$4,$V208-4,0))</f>
        <v>0</v>
      </c>
      <c r="I208" s="219" t="str">
        <f ca="1">IF(ISERROR($V208),"",OFFSET('Smelter Look-up'!$H$4,$V208-4,0))</f>
        <v>Laibin</v>
      </c>
      <c r="J208" s="219" t="str">
        <f ca="1">IF(ISERROR($V208),"",OFFSET('Smelter Look-up'!$I$4,$V208-4,0))</f>
        <v>Guangxi Zhuangzu Zizhiqu</v>
      </c>
      <c r="K208" s="273"/>
      <c r="L208" s="273"/>
      <c r="M208" s="273"/>
      <c r="N208" s="273"/>
      <c r="O208" s="273"/>
      <c r="P208" s="220"/>
      <c r="Q208" s="274"/>
      <c r="R208" s="217" t="str">
        <f ca="1">IF(ISERROR($V208),"",OFFSET('Smelter Look-up'!$C$4,$V208-4,0)&amp;"")</f>
        <v>China Tin Group Co., Ltd.</v>
      </c>
      <c r="S208" s="225" t="str">
        <f t="shared" ca="1" si="30"/>
        <v>CN</v>
      </c>
      <c r="T208" s="225" t="str">
        <f ca="1">IF(B208="","",IF(ISERROR(MATCH($J208,SorP!$B$1:$B$6230,0)),"",INDIRECT("'SorP'!$A$"&amp;MATCH($J208,SorP!$B$1:$B$6230,0))))</f>
        <v>CN-GX</v>
      </c>
      <c r="U208" s="241"/>
      <c r="V208" s="275">
        <f>IF(C208="",NA(),MATCH($B208&amp;$C208,'Smelter Look-up'!$J:$J,0))</f>
        <v>367</v>
      </c>
      <c r="W208" s="276"/>
      <c r="X208" s="276">
        <f t="shared" ca="1" si="31"/>
        <v>0</v>
      </c>
      <c r="Y208" s="276"/>
      <c r="Z208" s="276"/>
      <c r="AB208" s="278" t="str">
        <f t="shared" si="32"/>
        <v>TinChina Tin Group Co., Ltd.</v>
      </c>
    </row>
    <row r="209" spans="1:28" s="277" customFormat="1" ht="27.95" customHeight="1">
      <c r="A209" s="216"/>
      <c r="B209" s="217" t="s">
        <v>1154</v>
      </c>
      <c r="C209" s="221" t="s">
        <v>14147</v>
      </c>
      <c r="D209" s="283"/>
      <c r="E209" s="217" t="str">
        <f ca="1">IF(ISERROR($V209),"",OFFSET('Smelter Look-up'!$D$4,$V209-4,0)&amp;"")</f>
        <v>CHINA</v>
      </c>
      <c r="F209" s="217" t="str">
        <f ca="1">IF(ISERROR($V209),"",OFFSET('Smelter Look-up'!$E$4,$V209-4,0))</f>
        <v>CID003356</v>
      </c>
      <c r="G209" s="217" t="str">
        <f ca="1">IF(C209=$X$4,"Enter smelter details",IF(ISERROR($V209),"",OFFSET('Smelter Look-up'!$F$4,$V209-4,0)))</f>
        <v>RMI</v>
      </c>
      <c r="H209" s="218">
        <f ca="1">IF(ISERROR($V209),"",OFFSET('Smelter Look-up'!$G$4,$V209-4,0))</f>
        <v>0</v>
      </c>
      <c r="I209" s="219" t="str">
        <f ca="1">IF(ISERROR($V209),"",OFFSET('Smelter Look-up'!$H$4,$V209-4,0))</f>
        <v>Dongguan</v>
      </c>
      <c r="J209" s="219" t="str">
        <f ca="1">IF(ISERROR($V209),"",OFFSET('Smelter Look-up'!$I$4,$V209-4,0))</f>
        <v>Guangdong Sheng</v>
      </c>
      <c r="K209" s="273"/>
      <c r="L209" s="273"/>
      <c r="M209" s="273"/>
      <c r="N209" s="273"/>
      <c r="O209" s="273"/>
      <c r="P209" s="220"/>
      <c r="Q209" s="274"/>
      <c r="R209" s="217" t="str">
        <f ca="1">IF(ISERROR($V209),"",OFFSET('Smelter Look-up'!$C$4,$V209-4,0)&amp;"")</f>
        <v>Dongguan CiEXPO Environmental Engineering Co., Ltd.</v>
      </c>
      <c r="S209" s="225" t="str">
        <f t="shared" ca="1" si="30"/>
        <v>CN</v>
      </c>
      <c r="T209" s="225" t="str">
        <f ca="1">IF(B209="","",IF(ISERROR(MATCH($J209,SorP!$B$1:$B$6230,0)),"",INDIRECT("'SorP'!$A$"&amp;MATCH($J209,SorP!$B$1:$B$6230,0))))</f>
        <v>CN-GD</v>
      </c>
      <c r="U209" s="241"/>
      <c r="V209" s="275">
        <f>IF(C209="",NA(),MATCH($B209&amp;$C209,'Smelter Look-up'!$J:$J,0))</f>
        <v>373</v>
      </c>
      <c r="W209" s="276"/>
      <c r="X209" s="276">
        <f t="shared" ca="1" si="31"/>
        <v>0</v>
      </c>
      <c r="Y209" s="276"/>
      <c r="Z209" s="276"/>
      <c r="AB209" s="278" t="str">
        <f t="shared" si="32"/>
        <v>TinDongguan CiEXPO Environmental Engineering Co., Ltd.</v>
      </c>
    </row>
    <row r="210" spans="1:28" s="277" customFormat="1" ht="27.95" customHeight="1">
      <c r="A210" s="216"/>
      <c r="B210" s="217" t="s">
        <v>1154</v>
      </c>
      <c r="C210" s="221" t="s">
        <v>929</v>
      </c>
      <c r="D210" s="283"/>
      <c r="E210" s="217" t="str">
        <f ca="1">IF(ISERROR($V210),"",OFFSET('Smelter Look-up'!$D$4,$V210-4,0)&amp;"")</f>
        <v>JAPAN</v>
      </c>
      <c r="F210" s="217" t="str">
        <f ca="1">IF(ISERROR($V210),"",OFFSET('Smelter Look-up'!$E$4,$V210-4,0))</f>
        <v>CID000402</v>
      </c>
      <c r="G210" s="217" t="str">
        <f ca="1">IF(C210=$X$4,"Enter smelter details",IF(ISERROR($V210),"",OFFSET('Smelter Look-up'!$F$4,$V210-4,0)))</f>
        <v>RMI</v>
      </c>
      <c r="H210" s="218">
        <f ca="1">IF(ISERROR($V210),"",OFFSET('Smelter Look-up'!$G$4,$V210-4,0))</f>
        <v>0</v>
      </c>
      <c r="I210" s="219" t="str">
        <f ca="1">IF(ISERROR($V210),"",OFFSET('Smelter Look-up'!$H$4,$V210-4,0))</f>
        <v>Kosaka</v>
      </c>
      <c r="J210" s="219" t="str">
        <f ca="1">IF(ISERROR($V210),"",OFFSET('Smelter Look-up'!$I$4,$V210-4,0))</f>
        <v>Akita</v>
      </c>
      <c r="K210" s="273"/>
      <c r="L210" s="273"/>
      <c r="M210" s="273"/>
      <c r="N210" s="273"/>
      <c r="O210" s="273"/>
      <c r="P210" s="220"/>
      <c r="Q210" s="274"/>
      <c r="R210" s="217" t="str">
        <f ca="1">IF(ISERROR($V210),"",OFFSET('Smelter Look-up'!$C$4,$V210-4,0)&amp;"")</f>
        <v>Dowa</v>
      </c>
      <c r="S210" s="225" t="str">
        <f t="shared" ca="1" si="30"/>
        <v>JP</v>
      </c>
      <c r="T210" s="225" t="str">
        <f ca="1">IF(B210="","",IF(ISERROR(MATCH($J210,SorP!$B$1:$B$6230,0)),"",INDIRECT("'SorP'!$A$"&amp;MATCH($J210,SorP!$B$1:$B$6230,0))))</f>
        <v>JP-05</v>
      </c>
      <c r="U210" s="241"/>
      <c r="V210" s="275">
        <f>IF(C210="",NA(),MATCH($B210&amp;$C210,'Smelter Look-up'!$J:$J,0))</f>
        <v>374</v>
      </c>
      <c r="W210" s="276"/>
      <c r="X210" s="276">
        <f t="shared" ca="1" si="31"/>
        <v>0</v>
      </c>
      <c r="Y210" s="276"/>
      <c r="Z210" s="276"/>
      <c r="AB210" s="278" t="str">
        <f t="shared" si="32"/>
        <v>TinDowa</v>
      </c>
    </row>
    <row r="211" spans="1:28" s="277" customFormat="1" ht="27.95" customHeight="1">
      <c r="A211" s="216"/>
      <c r="B211" s="217" t="s">
        <v>1154</v>
      </c>
      <c r="C211" s="221" t="s">
        <v>1846</v>
      </c>
      <c r="D211" s="283"/>
      <c r="E211" s="217" t="str">
        <f ca="1">IF(ISERROR($V211),"",OFFSET('Smelter Look-up'!$D$4,$V211-4,0)&amp;"")</f>
        <v>VIET NAM</v>
      </c>
      <c r="F211" s="217" t="str">
        <f ca="1">IF(ISERROR($V211),"",OFFSET('Smelter Look-up'!$E$4,$V211-4,0))</f>
        <v>CID002572</v>
      </c>
      <c r="G211" s="217" t="str">
        <f ca="1">IF(C211=$X$4,"Enter smelter details",IF(ISERROR($V211),"",OFFSET('Smelter Look-up'!$F$4,$V211-4,0)))</f>
        <v>RMI</v>
      </c>
      <c r="H211" s="218">
        <f ca="1">IF(ISERROR($V211),"",OFFSET('Smelter Look-up'!$G$4,$V211-4,0))</f>
        <v>0</v>
      </c>
      <c r="I211" s="219" t="str">
        <f ca="1">IF(ISERROR($V211),"",OFFSET('Smelter Look-up'!$H$4,$V211-4,0))</f>
        <v>Tinh Tuc</v>
      </c>
      <c r="J211" s="219" t="str">
        <f ca="1">IF(ISERROR($V211),"",OFFSET('Smelter Look-up'!$I$4,$V211-4,0))</f>
        <v>Cao Bằng</v>
      </c>
      <c r="K211" s="273"/>
      <c r="L211" s="273"/>
      <c r="M211" s="273"/>
      <c r="N211" s="273"/>
      <c r="O211" s="273"/>
      <c r="P211" s="220"/>
      <c r="Q211" s="274"/>
      <c r="R211" s="217" t="str">
        <f ca="1">IF(ISERROR($V211),"",OFFSET('Smelter Look-up'!$C$4,$V211-4,0)&amp;"")</f>
        <v>Electro-Mechanical Facility of the Cao Bang Minerals &amp; Metallurgy Joint Stock Company</v>
      </c>
      <c r="S211" s="225" t="str">
        <f t="shared" ca="1" si="30"/>
        <v>VN</v>
      </c>
      <c r="T211" s="225" t="str">
        <f ca="1">IF(B211="","",IF(ISERROR(MATCH($J211,SorP!$B$1:$B$6230,0)),"",INDIRECT("'SorP'!$A$"&amp;MATCH($J211,SorP!$B$1:$B$6230,0))))</f>
        <v>VN-04</v>
      </c>
      <c r="U211" s="241"/>
      <c r="V211" s="275">
        <f>IF(C211="",NA(),MATCH($B211&amp;$C211,'Smelter Look-up'!$J:$J,0))</f>
        <v>376</v>
      </c>
      <c r="W211" s="276"/>
      <c r="X211" s="276">
        <f t="shared" ca="1" si="31"/>
        <v>0</v>
      </c>
      <c r="Y211" s="276"/>
      <c r="Z211" s="276"/>
      <c r="AB211" s="278" t="str">
        <f t="shared" si="32"/>
        <v>TinElectro-Mechanical Facility of the Cao Bang Minerals &amp; Metallurgy Joint Stock Company</v>
      </c>
    </row>
    <row r="212" spans="1:28" s="277" customFormat="1" ht="27.95" customHeight="1">
      <c r="A212" s="216"/>
      <c r="B212" s="217" t="s">
        <v>1154</v>
      </c>
      <c r="C212" s="221" t="s">
        <v>865</v>
      </c>
      <c r="D212" s="283"/>
      <c r="E212" s="217" t="str">
        <f ca="1">IF(ISERROR($V212),"",OFFSET('Smelter Look-up'!$D$4,$V212-4,0)&amp;"")</f>
        <v>BOLIVIA (PLURINATIONAL STATE OF)</v>
      </c>
      <c r="F212" s="217" t="str">
        <f ca="1">IF(ISERROR($V212),"",OFFSET('Smelter Look-up'!$E$4,$V212-4,0))</f>
        <v>CID000438</v>
      </c>
      <c r="G212" s="217" t="str">
        <f ca="1">IF(C212=$X$4,"Enter smelter details",IF(ISERROR($V212),"",OFFSET('Smelter Look-up'!$F$4,$V212-4,0)))</f>
        <v>RMI</v>
      </c>
      <c r="H212" s="218">
        <f ca="1">IF(ISERROR($V212),"",OFFSET('Smelter Look-up'!$G$4,$V212-4,0))</f>
        <v>0</v>
      </c>
      <c r="I212" s="219" t="str">
        <f ca="1">IF(ISERROR($V212),"",OFFSET('Smelter Look-up'!$H$4,$V212-4,0))</f>
        <v>Oruro</v>
      </c>
      <c r="J212" s="219" t="str">
        <f ca="1">IF(ISERROR($V212),"",OFFSET('Smelter Look-up'!$I$4,$V212-4,0))</f>
        <v>Oruro</v>
      </c>
      <c r="K212" s="273"/>
      <c r="L212" s="273"/>
      <c r="M212" s="273"/>
      <c r="N212" s="273"/>
      <c r="O212" s="273"/>
      <c r="P212" s="220"/>
      <c r="Q212" s="274"/>
      <c r="R212" s="217" t="str">
        <f ca="1">IF(ISERROR($V212),"",OFFSET('Smelter Look-up'!$C$4,$V212-4,0)&amp;"")</f>
        <v>EM Vinto</v>
      </c>
      <c r="S212" s="225" t="str">
        <f t="shared" ca="1" si="30"/>
        <v>BO</v>
      </c>
      <c r="T212" s="225" t="str">
        <f ca="1">IF(B212="","",IF(ISERROR(MATCH($J212,SorP!$B$1:$B$6230,0)),"",INDIRECT("'SorP'!$A$"&amp;MATCH($J212,SorP!$B$1:$B$6230,0))))</f>
        <v>BO-O</v>
      </c>
      <c r="U212" s="241"/>
      <c r="V212" s="275">
        <f>IF(C212="",NA(),MATCH($B212&amp;$C212,'Smelter Look-up'!$J:$J,0))</f>
        <v>377</v>
      </c>
      <c r="W212" s="276"/>
      <c r="X212" s="276">
        <f t="shared" ca="1" si="31"/>
        <v>0</v>
      </c>
      <c r="Y212" s="276"/>
      <c r="Z212" s="276"/>
      <c r="AB212" s="278" t="str">
        <f t="shared" si="32"/>
        <v>TinEM Vinto</v>
      </c>
    </row>
    <row r="213" spans="1:28" s="277" customFormat="1" ht="27.95" customHeight="1">
      <c r="A213" s="216"/>
      <c r="B213" s="217" t="s">
        <v>1154</v>
      </c>
      <c r="C213" s="221" t="s">
        <v>13031</v>
      </c>
      <c r="D213" s="283"/>
      <c r="E213" s="217" t="str">
        <f ca="1">IF(ISERROR($V213),"",OFFSET('Smelter Look-up'!$D$4,$V213-4,0)&amp;"")</f>
        <v>BRAZIL</v>
      </c>
      <c r="F213" s="217" t="str">
        <f ca="1">IF(ISERROR($V213),"",OFFSET('Smelter Look-up'!$E$4,$V213-4,0))</f>
        <v>CID000448</v>
      </c>
      <c r="G213" s="217" t="str">
        <f ca="1">IF(C213=$X$4,"Enter smelter details",IF(ISERROR($V213),"",OFFSET('Smelter Look-up'!$F$4,$V213-4,0)))</f>
        <v>RMI</v>
      </c>
      <c r="H213" s="218">
        <f ca="1">IF(ISERROR($V213),"",OFFSET('Smelter Look-up'!$G$4,$V213-4,0))</f>
        <v>0</v>
      </c>
      <c r="I213" s="219" t="str">
        <f ca="1">IF(ISERROR($V213),"",OFFSET('Smelter Look-up'!$H$4,$V213-4,0))</f>
        <v>Ariquemes</v>
      </c>
      <c r="J213" s="219" t="str">
        <f ca="1">IF(ISERROR($V213),"",OFFSET('Smelter Look-up'!$I$4,$V213-4,0))</f>
        <v>Rondônia</v>
      </c>
      <c r="K213" s="273"/>
      <c r="L213" s="273"/>
      <c r="M213" s="273"/>
      <c r="N213" s="273"/>
      <c r="O213" s="273"/>
      <c r="P213" s="220"/>
      <c r="Q213" s="274"/>
      <c r="R213" s="217" t="str">
        <f ca="1">IF(ISERROR($V213),"",OFFSET('Smelter Look-up'!$C$4,$V213-4,0)&amp;"")</f>
        <v>Estanho de Rondonia S.A.</v>
      </c>
      <c r="S213" s="225" t="str">
        <f t="shared" ca="1" si="30"/>
        <v>BR</v>
      </c>
      <c r="T213" s="225" t="str">
        <f ca="1">IF(B213="","",IF(ISERROR(MATCH($J213,SorP!$B$1:$B$6230,0)),"",INDIRECT("'SorP'!$A$"&amp;MATCH($J213,SorP!$B$1:$B$6230,0))))</f>
        <v>BR-RO</v>
      </c>
      <c r="U213" s="241"/>
      <c r="V213" s="275">
        <f>IF(C213="",NA(),MATCH($B213&amp;$C213,'Smelter Look-up'!$J:$J,0))</f>
        <v>382</v>
      </c>
      <c r="W213" s="276"/>
      <c r="X213" s="276">
        <f t="shared" ca="1" si="31"/>
        <v>0</v>
      </c>
      <c r="Y213" s="276"/>
      <c r="Z213" s="276"/>
      <c r="AB213" s="278" t="str">
        <f t="shared" si="32"/>
        <v>TinEstanho de Rondônia S.A.</v>
      </c>
    </row>
    <row r="214" spans="1:28" s="277" customFormat="1" ht="27.95" customHeight="1">
      <c r="A214" s="216"/>
      <c r="B214" s="217" t="s">
        <v>1154</v>
      </c>
      <c r="C214" s="221" t="s">
        <v>836</v>
      </c>
      <c r="D214" s="283"/>
      <c r="E214" s="217" t="str">
        <f ca="1">IF(ISERROR($V214),"",OFFSET('Smelter Look-up'!$D$4,$V214-4,0)&amp;"")</f>
        <v>POLAND</v>
      </c>
      <c r="F214" s="217" t="str">
        <f ca="1">IF(ISERROR($V214),"",OFFSET('Smelter Look-up'!$E$4,$V214-4,0))</f>
        <v>CID000468</v>
      </c>
      <c r="G214" s="217" t="str">
        <f ca="1">IF(C214=$X$4,"Enter smelter details",IF(ISERROR($V214),"",OFFSET('Smelter Look-up'!$F$4,$V214-4,0)))</f>
        <v>RMI</v>
      </c>
      <c r="H214" s="218">
        <f ca="1">IF(ISERROR($V214),"",OFFSET('Smelter Look-up'!$G$4,$V214-4,0))</f>
        <v>0</v>
      </c>
      <c r="I214" s="219" t="str">
        <f ca="1">IF(ISERROR($V214),"",OFFSET('Smelter Look-up'!$H$4,$V214-4,0))</f>
        <v>Chmielów</v>
      </c>
      <c r="J214" s="219" t="str">
        <f ca="1">IF(ISERROR($V214),"",OFFSET('Smelter Look-up'!$I$4,$V214-4,0))</f>
        <v>Podkarpackie</v>
      </c>
      <c r="K214" s="273"/>
      <c r="L214" s="273"/>
      <c r="M214" s="273"/>
      <c r="N214" s="273"/>
      <c r="O214" s="273"/>
      <c r="P214" s="220"/>
      <c r="Q214" s="274"/>
      <c r="R214" s="217" t="str">
        <f ca="1">IF(ISERROR($V214),"",OFFSET('Smelter Look-up'!$C$4,$V214-4,0)&amp;"")</f>
        <v>Fenix Metals</v>
      </c>
      <c r="S214" s="225" t="str">
        <f t="shared" ca="1" si="30"/>
        <v>PL</v>
      </c>
      <c r="T214" s="225" t="str">
        <f ca="1">IF(B214="","",IF(ISERROR(MATCH($J214,SorP!$B$1:$B$6230,0)),"",INDIRECT("'SorP'!$A$"&amp;MATCH($J214,SorP!$B$1:$B$6230,0))))</f>
        <v>PL-18</v>
      </c>
      <c r="U214" s="241"/>
      <c r="V214" s="275">
        <f>IF(C214="",NA(),MATCH($B214&amp;$C214,'Smelter Look-up'!$J:$J,0))</f>
        <v>383</v>
      </c>
      <c r="W214" s="276"/>
      <c r="X214" s="276">
        <f t="shared" ca="1" si="31"/>
        <v>0</v>
      </c>
      <c r="Y214" s="276"/>
      <c r="Z214" s="276"/>
      <c r="AB214" s="278" t="str">
        <f t="shared" si="32"/>
        <v>TinFenix Metals</v>
      </c>
    </row>
    <row r="215" spans="1:28" s="277" customFormat="1" ht="27.95" customHeight="1">
      <c r="A215" s="216"/>
      <c r="B215" s="217" t="s">
        <v>1154</v>
      </c>
      <c r="C215" s="221" t="s">
        <v>14222</v>
      </c>
      <c r="D215" s="283"/>
      <c r="E215" s="217" t="str">
        <f ca="1">IF(ISERROR($V215),"",OFFSET('Smelter Look-up'!$D$4,$V215-4,0)&amp;"")</f>
        <v>CHINA</v>
      </c>
      <c r="F215" s="217" t="str">
        <f ca="1">IF(ISERROR($V215),"",OFFSET('Smelter Look-up'!$E$4,$V215-4,0))</f>
        <v>CID003410</v>
      </c>
      <c r="G215" s="217" t="str">
        <f ca="1">IF(C215=$X$4,"Enter smelter details",IF(ISERROR($V215),"",OFFSET('Smelter Look-up'!$F$4,$V215-4,0)))</f>
        <v>RMI</v>
      </c>
      <c r="H215" s="218">
        <f ca="1">IF(ISERROR($V215),"",OFFSET('Smelter Look-up'!$G$4,$V215-4,0))</f>
        <v>0</v>
      </c>
      <c r="I215" s="219" t="str">
        <f ca="1">IF(ISERROR($V215),"",OFFSET('Smelter Look-up'!$H$4,$V215-4,0))</f>
        <v>Gejiu</v>
      </c>
      <c r="J215" s="219" t="str">
        <f ca="1">IF(ISERROR($V215),"",OFFSET('Smelter Look-up'!$I$4,$V215-4,0))</f>
        <v>Yunnan Sheng</v>
      </c>
      <c r="K215" s="273"/>
      <c r="L215" s="273"/>
      <c r="M215" s="273"/>
      <c r="N215" s="273"/>
      <c r="O215" s="273"/>
      <c r="P215" s="220"/>
      <c r="Q215" s="274"/>
      <c r="R215" s="217" t="str">
        <f ca="1">IF(ISERROR($V215),"",OFFSET('Smelter Look-up'!$C$4,$V215-4,0)&amp;"")</f>
        <v>Gejiu City Fuxiang Industry and Trade Co., Ltd.</v>
      </c>
      <c r="S215" s="225" t="str">
        <f t="shared" ca="1" si="30"/>
        <v>CN</v>
      </c>
      <c r="T215" s="225" t="str">
        <f ca="1">IF(B215="","",IF(ISERROR(MATCH($J215,SorP!$B$1:$B$6230,0)),"",INDIRECT("'SorP'!$A$"&amp;MATCH($J215,SorP!$B$1:$B$6230,0))))</f>
        <v>CN-YN</v>
      </c>
      <c r="U215" s="241"/>
      <c r="V215" s="275">
        <f>IF(C215="",NA(),MATCH($B215&amp;$C215,'Smelter Look-up'!$J:$J,0))</f>
        <v>386</v>
      </c>
      <c r="W215" s="276"/>
      <c r="X215" s="276">
        <f t="shared" ca="1" si="31"/>
        <v>0</v>
      </c>
      <c r="Y215" s="276"/>
      <c r="Z215" s="276"/>
      <c r="AB215" s="278" t="str">
        <f t="shared" si="32"/>
        <v>TinGejiu City Fuxiang Industry and Trade Co., Ltd.</v>
      </c>
    </row>
    <row r="216" spans="1:28" s="277" customFormat="1" ht="27.95" customHeight="1">
      <c r="A216" s="216"/>
      <c r="B216" s="217" t="s">
        <v>1154</v>
      </c>
      <c r="C216" s="221" t="s">
        <v>1450</v>
      </c>
      <c r="D216" s="283"/>
      <c r="E216" s="217" t="str">
        <f ca="1">IF(ISERROR($V216),"",OFFSET('Smelter Look-up'!$D$4,$V216-4,0)&amp;"")</f>
        <v>CHINA</v>
      </c>
      <c r="F216" s="217" t="str">
        <f ca="1">IF(ISERROR($V216),"",OFFSET('Smelter Look-up'!$E$4,$V216-4,0))</f>
        <v>CID000942</v>
      </c>
      <c r="G216" s="217" t="str">
        <f ca="1">IF(C216=$X$4,"Enter smelter details",IF(ISERROR($V216),"",OFFSET('Smelter Look-up'!$F$4,$V216-4,0)))</f>
        <v>RMI</v>
      </c>
      <c r="H216" s="218">
        <f ca="1">IF(ISERROR($V216),"",OFFSET('Smelter Look-up'!$G$4,$V216-4,0))</f>
        <v>0</v>
      </c>
      <c r="I216" s="219" t="str">
        <f ca="1">IF(ISERROR($V216),"",OFFSET('Smelter Look-up'!$H$4,$V216-4,0))</f>
        <v>Gejiu</v>
      </c>
      <c r="J216" s="219" t="str">
        <f ca="1">IF(ISERROR($V216),"",OFFSET('Smelter Look-up'!$I$4,$V216-4,0))</f>
        <v>Yunnan Sheng</v>
      </c>
      <c r="K216" s="273"/>
      <c r="L216" s="273"/>
      <c r="M216" s="273"/>
      <c r="N216" s="273"/>
      <c r="O216" s="273"/>
      <c r="P216" s="220"/>
      <c r="Q216" s="274"/>
      <c r="R216" s="217" t="str">
        <f ca="1">IF(ISERROR($V216),"",OFFSET('Smelter Look-up'!$C$4,$V216-4,0)&amp;"")</f>
        <v>Gejiu Kai Meng Industry and Trade LLC</v>
      </c>
      <c r="S216" s="225" t="str">
        <f t="shared" ca="1" si="30"/>
        <v>CN</v>
      </c>
      <c r="T216" s="225" t="str">
        <f ca="1">IF(B216="","",IF(ISERROR(MATCH($J216,SorP!$B$1:$B$6230,0)),"",INDIRECT("'SorP'!$A$"&amp;MATCH($J216,SorP!$B$1:$B$6230,0))))</f>
        <v>CN-YN</v>
      </c>
      <c r="U216" s="241"/>
      <c r="V216" s="275">
        <f>IF(C216="",NA(),MATCH($B216&amp;$C216,'Smelter Look-up'!$J:$J,0))</f>
        <v>388</v>
      </c>
      <c r="W216" s="276"/>
      <c r="X216" s="276">
        <f t="shared" ca="1" si="31"/>
        <v>0</v>
      </c>
      <c r="Y216" s="276"/>
      <c r="Z216" s="276"/>
      <c r="AB216" s="278" t="str">
        <f t="shared" si="32"/>
        <v>TinGejiu Kai Meng Industry and Trade LLC</v>
      </c>
    </row>
    <row r="217" spans="1:28" s="277" customFormat="1" ht="27.95" customHeight="1">
      <c r="A217" s="216"/>
      <c r="B217" s="217" t="s">
        <v>1154</v>
      </c>
      <c r="C217" s="221" t="s">
        <v>2248</v>
      </c>
      <c r="D217" s="283"/>
      <c r="E217" s="217" t="str">
        <f ca="1">IF(ISERROR($V217),"",OFFSET('Smelter Look-up'!$D$4,$V217-4,0)&amp;"")</f>
        <v>CHINA</v>
      </c>
      <c r="F217" s="217" t="str">
        <f ca="1">IF(ISERROR($V217),"",OFFSET('Smelter Look-up'!$E$4,$V217-4,0))</f>
        <v>CID000538</v>
      </c>
      <c r="G217" s="217" t="str">
        <f ca="1">IF(C217=$X$4,"Enter smelter details",IF(ISERROR($V217),"",OFFSET('Smelter Look-up'!$F$4,$V217-4,0)))</f>
        <v>RMI</v>
      </c>
      <c r="H217" s="218">
        <f ca="1">IF(ISERROR($V217),"",OFFSET('Smelter Look-up'!$G$4,$V217-4,0))</f>
        <v>0</v>
      </c>
      <c r="I217" s="219" t="str">
        <f ca="1">IF(ISERROR($V217),"",OFFSET('Smelter Look-up'!$H$4,$V217-4,0))</f>
        <v>Gejiu</v>
      </c>
      <c r="J217" s="219" t="str">
        <f ca="1">IF(ISERROR($V217),"",OFFSET('Smelter Look-up'!$I$4,$V217-4,0))</f>
        <v>Yunnan Sheng</v>
      </c>
      <c r="K217" s="273"/>
      <c r="L217" s="273"/>
      <c r="M217" s="273"/>
      <c r="N217" s="273"/>
      <c r="O217" s="273"/>
      <c r="P217" s="220"/>
      <c r="Q217" s="274"/>
      <c r="R217" s="217" t="str">
        <f ca="1">IF(ISERROR($V217),"",OFFSET('Smelter Look-up'!$C$4,$V217-4,0)&amp;"")</f>
        <v>Gejiu Non-Ferrous Metal Processing Co., Ltd.</v>
      </c>
      <c r="S217" s="225" t="str">
        <f t="shared" ca="1" si="30"/>
        <v>CN</v>
      </c>
      <c r="T217" s="225" t="str">
        <f ca="1">IF(B217="","",IF(ISERROR(MATCH($J217,SorP!$B$1:$B$6230,0)),"",INDIRECT("'SorP'!$A$"&amp;MATCH($J217,SorP!$B$1:$B$6230,0))))</f>
        <v>CN-YN</v>
      </c>
      <c r="U217" s="241"/>
      <c r="V217" s="275">
        <f>IF(C217="",NA(),MATCH($B217&amp;$C217,'Smelter Look-up'!$J:$J,0))</f>
        <v>389</v>
      </c>
      <c r="W217" s="276"/>
      <c r="X217" s="276">
        <f t="shared" ca="1" si="31"/>
        <v>0</v>
      </c>
      <c r="Y217" s="276"/>
      <c r="Z217" s="276"/>
      <c r="AB217" s="278" t="str">
        <f t="shared" si="32"/>
        <v>TinGejiu Non-Ferrous Metal Processing Co., Ltd.</v>
      </c>
    </row>
    <row r="218" spans="1:28" s="277" customFormat="1" ht="27.95" customHeight="1">
      <c r="A218" s="216"/>
      <c r="B218" s="217" t="s">
        <v>1154</v>
      </c>
      <c r="C218" s="221" t="s">
        <v>1839</v>
      </c>
      <c r="D218" s="283"/>
      <c r="E218" s="217" t="str">
        <f ca="1">IF(ISERROR($V218),"",OFFSET('Smelter Look-up'!$D$4,$V218-4,0)&amp;"")</f>
        <v>CHINA</v>
      </c>
      <c r="F218" s="217" t="str">
        <f ca="1">IF(ISERROR($V218),"",OFFSET('Smelter Look-up'!$E$4,$V218-4,0))</f>
        <v>CID001908</v>
      </c>
      <c r="G218" s="217" t="str">
        <f ca="1">IF(C218=$X$4,"Enter smelter details",IF(ISERROR($V218),"",OFFSET('Smelter Look-up'!$F$4,$V218-4,0)))</f>
        <v>RMI</v>
      </c>
      <c r="H218" s="218">
        <f ca="1">IF(ISERROR($V218),"",OFFSET('Smelter Look-up'!$G$4,$V218-4,0))</f>
        <v>0</v>
      </c>
      <c r="I218" s="219" t="str">
        <f ca="1">IF(ISERROR($V218),"",OFFSET('Smelter Look-up'!$H$4,$V218-4,0))</f>
        <v>Gejiu</v>
      </c>
      <c r="J218" s="219" t="str">
        <f ca="1">IF(ISERROR($V218),"",OFFSET('Smelter Look-up'!$I$4,$V218-4,0))</f>
        <v>Yunnan Sheng</v>
      </c>
      <c r="K218" s="273"/>
      <c r="L218" s="273"/>
      <c r="M218" s="273"/>
      <c r="N218" s="273"/>
      <c r="O218" s="273"/>
      <c r="P218" s="220"/>
      <c r="Q218" s="274"/>
      <c r="R218" s="217" t="str">
        <f ca="1">IF(ISERROR($V218),"",OFFSET('Smelter Look-up'!$C$4,$V218-4,0)&amp;"")</f>
        <v>Gejiu Yunxin Nonferrous Electrolysis Co., Ltd.</v>
      </c>
      <c r="S218" s="225" t="str">
        <f t="shared" ca="1" si="30"/>
        <v>CN</v>
      </c>
      <c r="T218" s="225" t="str">
        <f ca="1">IF(B218="","",IF(ISERROR(MATCH($J218,SorP!$B$1:$B$6230,0)),"",INDIRECT("'SorP'!$A$"&amp;MATCH($J218,SorP!$B$1:$B$6230,0))))</f>
        <v>CN-YN</v>
      </c>
      <c r="U218" s="241"/>
      <c r="V218" s="275">
        <f>IF(C218="",NA(),MATCH($B218&amp;$C218,'Smelter Look-up'!$J:$J,0))</f>
        <v>390</v>
      </c>
      <c r="W218" s="276"/>
      <c r="X218" s="276">
        <f t="shared" ca="1" si="31"/>
        <v>0</v>
      </c>
      <c r="Y218" s="276"/>
      <c r="Z218" s="276"/>
      <c r="AB218" s="278" t="str">
        <f t="shared" si="32"/>
        <v>TinGejiu Yunxin Nonferrous Electrolysis Co., Ltd.</v>
      </c>
    </row>
    <row r="219" spans="1:28" s="277" customFormat="1" ht="27.95" customHeight="1">
      <c r="A219" s="216"/>
      <c r="B219" s="217" t="s">
        <v>1154</v>
      </c>
      <c r="C219" s="221" t="s">
        <v>1811</v>
      </c>
      <c r="D219" s="283"/>
      <c r="E219" s="217" t="str">
        <f ca="1">IF(ISERROR($V219),"",OFFSET('Smelter Look-up'!$D$4,$V219-4,0)&amp;"")</f>
        <v>CHINA</v>
      </c>
      <c r="F219" s="217" t="str">
        <f ca="1">IF(ISERROR($V219),"",OFFSET('Smelter Look-up'!$E$4,$V219-4,0))</f>
        <v>CID000555</v>
      </c>
      <c r="G219" s="217" t="str">
        <f ca="1">IF(C219=$X$4,"Enter smelter details",IF(ISERROR($V219),"",OFFSET('Smelter Look-up'!$F$4,$V219-4,0)))</f>
        <v>RMI</v>
      </c>
      <c r="H219" s="218">
        <f ca="1">IF(ISERROR($V219),"",OFFSET('Smelter Look-up'!$G$4,$V219-4,0))</f>
        <v>0</v>
      </c>
      <c r="I219" s="219" t="str">
        <f ca="1">IF(ISERROR($V219),"",OFFSET('Smelter Look-up'!$H$4,$V219-4,0))</f>
        <v>Gejiu</v>
      </c>
      <c r="J219" s="219" t="str">
        <f ca="1">IF(ISERROR($V219),"",OFFSET('Smelter Look-up'!$I$4,$V219-4,0))</f>
        <v>Yunnan Sheng</v>
      </c>
      <c r="K219" s="273"/>
      <c r="L219" s="273"/>
      <c r="M219" s="273"/>
      <c r="N219" s="273"/>
      <c r="O219" s="273"/>
      <c r="P219" s="220"/>
      <c r="Q219" s="274"/>
      <c r="R219" s="217" t="str">
        <f ca="1">IF(ISERROR($V219),"",OFFSET('Smelter Look-up'!$C$4,$V219-4,0)&amp;"")</f>
        <v>Gejiu Zili Mining And Metallurgy Co., Ltd.</v>
      </c>
      <c r="S219" s="225" t="str">
        <f t="shared" ca="1" si="30"/>
        <v>CN</v>
      </c>
      <c r="T219" s="225" t="str">
        <f ca="1">IF(B219="","",IF(ISERROR(MATCH($J219,SorP!$B$1:$B$6230,0)),"",INDIRECT("'SorP'!$A$"&amp;MATCH($J219,SorP!$B$1:$B$6230,0))))</f>
        <v>CN-YN</v>
      </c>
      <c r="U219" s="241"/>
      <c r="V219" s="275">
        <f>IF(C219="",NA(),MATCH($B219&amp;$C219,'Smelter Look-up'!$J:$J,0))</f>
        <v>392</v>
      </c>
      <c r="W219" s="276"/>
      <c r="X219" s="276">
        <f t="shared" ca="1" si="31"/>
        <v>0</v>
      </c>
      <c r="Y219" s="276"/>
      <c r="Z219" s="276"/>
      <c r="AB219" s="278" t="str">
        <f t="shared" si="32"/>
        <v>TinGejiu Zili Mining And Metallurgy Co., Ltd.</v>
      </c>
    </row>
    <row r="220" spans="1:28" s="277" customFormat="1" ht="27.95" customHeight="1">
      <c r="A220" s="216"/>
      <c r="B220" s="217" t="s">
        <v>1154</v>
      </c>
      <c r="C220" s="221" t="s">
        <v>2677</v>
      </c>
      <c r="D220" s="283"/>
      <c r="E220" s="217" t="str">
        <f ca="1">IF(ISERROR($V220),"",OFFSET('Smelter Look-up'!$D$4,$V220-4,0)&amp;"")</f>
        <v>CHINA</v>
      </c>
      <c r="F220" s="217" t="str">
        <f ca="1">IF(ISERROR($V220),"",OFFSET('Smelter Look-up'!$E$4,$V220-4,0))</f>
        <v>CID003116</v>
      </c>
      <c r="G220" s="217" t="str">
        <f ca="1">IF(C220=$X$4,"Enter smelter details",IF(ISERROR($V220),"",OFFSET('Smelter Look-up'!$F$4,$V220-4,0)))</f>
        <v>RMI</v>
      </c>
      <c r="H220" s="218">
        <f ca="1">IF(ISERROR($V220),"",OFFSET('Smelter Look-up'!$G$4,$V220-4,0))</f>
        <v>0</v>
      </c>
      <c r="I220" s="219" t="str">
        <f ca="1">IF(ISERROR($V220),"",OFFSET('Smelter Look-up'!$H$4,$V220-4,0))</f>
        <v>Chaozhou</v>
      </c>
      <c r="J220" s="219" t="str">
        <f ca="1">IF(ISERROR($V220),"",OFFSET('Smelter Look-up'!$I$4,$V220-4,0))</f>
        <v>Guangdong Sheng</v>
      </c>
      <c r="K220" s="273"/>
      <c r="L220" s="273"/>
      <c r="M220" s="273"/>
      <c r="N220" s="273"/>
      <c r="O220" s="273"/>
      <c r="P220" s="220"/>
      <c r="Q220" s="274"/>
      <c r="R220" s="217" t="str">
        <f ca="1">IF(ISERROR($V220),"",OFFSET('Smelter Look-up'!$C$4,$V220-4,0)&amp;"")</f>
        <v>Guangdong Hanhe Non-Ferrous Metal Co., Ltd.</v>
      </c>
      <c r="S220" s="225" t="str">
        <f t="shared" ca="1" si="30"/>
        <v>CN</v>
      </c>
      <c r="T220" s="225" t="str">
        <f ca="1">IF(B220="","",IF(ISERROR(MATCH($J220,SorP!$B$1:$B$6230,0)),"",INDIRECT("'SorP'!$A$"&amp;MATCH($J220,SorP!$B$1:$B$6230,0))))</f>
        <v>CN-GD</v>
      </c>
      <c r="U220" s="241"/>
      <c r="V220" s="275">
        <f>IF(C220="",NA(),MATCH($B220&amp;$C220,'Smelter Look-up'!$J:$J,0))</f>
        <v>395</v>
      </c>
      <c r="W220" s="276"/>
      <c r="X220" s="276">
        <f t="shared" ca="1" si="31"/>
        <v>0</v>
      </c>
      <c r="Y220" s="276"/>
      <c r="Z220" s="276"/>
      <c r="AB220" s="278" t="str">
        <f t="shared" si="32"/>
        <v>TinGuangdong Hanhe Non-Ferrous Metal Co., Ltd.</v>
      </c>
    </row>
    <row r="221" spans="1:28" s="277" customFormat="1" ht="27.95" customHeight="1">
      <c r="A221" s="216"/>
      <c r="B221" s="217" t="s">
        <v>1154</v>
      </c>
      <c r="C221" s="221" t="s">
        <v>2401</v>
      </c>
      <c r="D221" s="283"/>
      <c r="E221" s="217" t="str">
        <f ca="1">IF(ISERROR($V221),"",OFFSET('Smelter Look-up'!$D$4,$V221-4,0)&amp;"")</f>
        <v>CHINA</v>
      </c>
      <c r="F221" s="217" t="str">
        <f ca="1">IF(ISERROR($V221),"",OFFSET('Smelter Look-up'!$E$4,$V221-4,0))</f>
        <v>CID002844</v>
      </c>
      <c r="G221" s="217" t="str">
        <f ca="1">IF(C221=$X$4,"Enter smelter details",IF(ISERROR($V221),"",OFFSET('Smelter Look-up'!$F$4,$V221-4,0)))</f>
        <v>RMI</v>
      </c>
      <c r="H221" s="218">
        <f ca="1">IF(ISERROR($V221),"",OFFSET('Smelter Look-up'!$G$4,$V221-4,0))</f>
        <v>0</v>
      </c>
      <c r="I221" s="219" t="str">
        <f ca="1">IF(ISERROR($V221),"",OFFSET('Smelter Look-up'!$H$4,$V221-4,0))</f>
        <v>Ganzhou</v>
      </c>
      <c r="J221" s="219" t="str">
        <f ca="1">IF(ISERROR($V221),"",OFFSET('Smelter Look-up'!$I$4,$V221-4,0))</f>
        <v>Jiangxi Sheng</v>
      </c>
      <c r="K221" s="273"/>
      <c r="L221" s="273"/>
      <c r="M221" s="273"/>
      <c r="N221" s="273"/>
      <c r="O221" s="273"/>
      <c r="P221" s="220"/>
      <c r="Q221" s="274"/>
      <c r="R221" s="217" t="str">
        <f ca="1">IF(ISERROR($V221),"",OFFSET('Smelter Look-up'!$C$4,$V221-4,0)&amp;"")</f>
        <v>HuiChang Hill Tin Industry Co., Ltd.</v>
      </c>
      <c r="S221" s="225" t="str">
        <f t="shared" ca="1" si="30"/>
        <v>CN</v>
      </c>
      <c r="T221" s="225" t="str">
        <f ca="1">IF(B221="","",IF(ISERROR(MATCH($J221,SorP!$B$1:$B$6230,0)),"",INDIRECT("'SorP'!$A$"&amp;MATCH($J221,SorP!$B$1:$B$6230,0))))</f>
        <v>CN-JX</v>
      </c>
      <c r="U221" s="241"/>
      <c r="V221" s="275">
        <f>IF(C221="",NA(),MATCH($B221&amp;$C221,'Smelter Look-up'!$J:$J,0))</f>
        <v>399</v>
      </c>
      <c r="W221" s="276"/>
      <c r="X221" s="276">
        <f t="shared" ca="1" si="31"/>
        <v>0</v>
      </c>
      <c r="Y221" s="276"/>
      <c r="Z221" s="276"/>
      <c r="AB221" s="278" t="str">
        <f t="shared" si="32"/>
        <v>TinHuiChang Hill Tin Industry Co., Ltd.</v>
      </c>
    </row>
    <row r="222" spans="1:28" s="277" customFormat="1" ht="27.95" customHeight="1">
      <c r="A222" s="216"/>
      <c r="B222" s="217" t="s">
        <v>1154</v>
      </c>
      <c r="C222" s="221" t="s">
        <v>2249</v>
      </c>
      <c r="D222" s="283"/>
      <c r="E222" s="217" t="str">
        <f ca="1">IF(ISERROR($V222),"",OFFSET('Smelter Look-up'!$D$4,$V222-4,0)&amp;"")</f>
        <v>CHINA</v>
      </c>
      <c r="F222" s="217" t="str">
        <f ca="1">IF(ISERROR($V222),"",OFFSET('Smelter Look-up'!$E$4,$V222-4,0))</f>
        <v>CID000760</v>
      </c>
      <c r="G222" s="217" t="str">
        <f ca="1">IF(C222=$X$4,"Enter smelter details",IF(ISERROR($V222),"",OFFSET('Smelter Look-up'!$F$4,$V222-4,0)))</f>
        <v>RMI</v>
      </c>
      <c r="H222" s="218">
        <f ca="1">IF(ISERROR($V222),"",OFFSET('Smelter Look-up'!$G$4,$V222-4,0))</f>
        <v>0</v>
      </c>
      <c r="I222" s="219" t="str">
        <f ca="1">IF(ISERROR($V222),"",OFFSET('Smelter Look-up'!$H$4,$V222-4,0))</f>
        <v>Ganzhou</v>
      </c>
      <c r="J222" s="219" t="str">
        <f ca="1">IF(ISERROR($V222),"",OFFSET('Smelter Look-up'!$I$4,$V222-4,0))</f>
        <v>Jiangxi Sheng</v>
      </c>
      <c r="K222" s="273"/>
      <c r="L222" s="273"/>
      <c r="M222" s="273"/>
      <c r="N222" s="273"/>
      <c r="O222" s="273"/>
      <c r="P222" s="220"/>
      <c r="Q222" s="274"/>
      <c r="R222" s="217" t="str">
        <f ca="1">IF(ISERROR($V222),"",OFFSET('Smelter Look-up'!$C$4,$V222-4,0)&amp;"")</f>
        <v>Huichang Jinshunda Tin Co., Ltd.</v>
      </c>
      <c r="S222" s="225" t="str">
        <f t="shared" ca="1" si="30"/>
        <v>CN</v>
      </c>
      <c r="T222" s="225" t="str">
        <f ca="1">IF(B222="","",IF(ISERROR(MATCH($J222,SorP!$B$1:$B$6230,0)),"",INDIRECT("'SorP'!$A$"&amp;MATCH($J222,SorP!$B$1:$B$6230,0))))</f>
        <v>CN-JX</v>
      </c>
      <c r="U222" s="241"/>
      <c r="V222" s="275">
        <f>IF(C222="",NA(),MATCH($B222&amp;$C222,'Smelter Look-up'!$J:$J,0))</f>
        <v>400</v>
      </c>
      <c r="W222" s="276"/>
      <c r="X222" s="276">
        <f t="shared" ca="1" si="31"/>
        <v>0</v>
      </c>
      <c r="Y222" s="276"/>
      <c r="Z222" s="276"/>
      <c r="AB222" s="278" t="str">
        <f t="shared" si="32"/>
        <v>TinHuichang Jinshunda Tin Co., Ltd.</v>
      </c>
    </row>
    <row r="223" spans="1:28" s="277" customFormat="1" ht="27.95" customHeight="1">
      <c r="A223" s="216"/>
      <c r="B223" s="217" t="s">
        <v>1154</v>
      </c>
      <c r="C223" s="221" t="s">
        <v>13518</v>
      </c>
      <c r="D223" s="283"/>
      <c r="E223" s="217" t="str">
        <f ca="1">IF(ISERROR($V223),"",OFFSET('Smelter Look-up'!$D$4,$V223-4,0)&amp;"")</f>
        <v>CHINA</v>
      </c>
      <c r="F223" s="217" t="str">
        <f ca="1">IF(ISERROR($V223),"",OFFSET('Smelter Look-up'!$E$4,$V223-4,0))</f>
        <v>CID001231</v>
      </c>
      <c r="G223" s="217" t="str">
        <f ca="1">IF(C223=$X$4,"Enter smelter details",IF(ISERROR($V223),"",OFFSET('Smelter Look-up'!$F$4,$V223-4,0)))</f>
        <v>RMI</v>
      </c>
      <c r="H223" s="218">
        <f ca="1">IF(ISERROR($V223),"",OFFSET('Smelter Look-up'!$G$4,$V223-4,0))</f>
        <v>0</v>
      </c>
      <c r="I223" s="219" t="str">
        <f ca="1">IF(ISERROR($V223),"",OFFSET('Smelter Look-up'!$H$4,$V223-4,0))</f>
        <v>Ganzhou</v>
      </c>
      <c r="J223" s="219" t="str">
        <f ca="1">IF(ISERROR($V223),"",OFFSET('Smelter Look-up'!$I$4,$V223-4,0))</f>
        <v>Jiangxi Sheng</v>
      </c>
      <c r="K223" s="273"/>
      <c r="L223" s="273"/>
      <c r="M223" s="273"/>
      <c r="N223" s="273"/>
      <c r="O223" s="273"/>
      <c r="P223" s="220"/>
      <c r="Q223" s="274"/>
      <c r="R223" s="217" t="str">
        <f ca="1">IF(ISERROR($V223),"",OFFSET('Smelter Look-up'!$C$4,$V223-4,0)&amp;"")</f>
        <v>Jiangxi New Nanshan Technology Ltd.</v>
      </c>
      <c r="S223" s="225" t="str">
        <f t="shared" ca="1" si="30"/>
        <v>CN</v>
      </c>
      <c r="T223" s="225" t="str">
        <f ca="1">IF(B223="","",IF(ISERROR(MATCH($J223,SorP!$B$1:$B$6230,0)),"",INDIRECT("'SorP'!$A$"&amp;MATCH($J223,SorP!$B$1:$B$6230,0))))</f>
        <v>CN-JX</v>
      </c>
      <c r="U223" s="241"/>
      <c r="V223" s="275">
        <f>IF(C223="",NA(),MATCH($B223&amp;$C223,'Smelter Look-up'!$J:$J,0))</f>
        <v>404</v>
      </c>
      <c r="W223" s="276"/>
      <c r="X223" s="276">
        <f t="shared" ca="1" si="31"/>
        <v>0</v>
      </c>
      <c r="Y223" s="276"/>
      <c r="Z223" s="276"/>
      <c r="AB223" s="278" t="str">
        <f t="shared" si="32"/>
        <v>TinJiangxi New Nanshan Technology Ltd.</v>
      </c>
    </row>
    <row r="224" spans="1:28" s="277" customFormat="1" ht="27.95" customHeight="1">
      <c r="A224" s="216"/>
      <c r="B224" s="217" t="s">
        <v>1154</v>
      </c>
      <c r="C224" s="221" t="s">
        <v>14223</v>
      </c>
      <c r="D224" s="283"/>
      <c r="E224" s="217" t="str">
        <f ca="1">IF(ISERROR($V224),"",OFFSET('Smelter Look-up'!$D$4,$V224-4,0)&amp;"")</f>
        <v>RWANDA</v>
      </c>
      <c r="F224" s="217" t="str">
        <f ca="1">IF(ISERROR($V224),"",OFFSET('Smelter Look-up'!$E$4,$V224-4,0))</f>
        <v>CID003387</v>
      </c>
      <c r="G224" s="217" t="str">
        <f ca="1">IF(C224=$X$4,"Enter smelter details",IF(ISERROR($V224),"",OFFSET('Smelter Look-up'!$F$4,$V224-4,0)))</f>
        <v>RMI</v>
      </c>
      <c r="H224" s="218">
        <f ca="1">IF(ISERROR($V224),"",OFFSET('Smelter Look-up'!$G$4,$V224-4,0))</f>
        <v>0</v>
      </c>
      <c r="I224" s="219" t="str">
        <f ca="1">IF(ISERROR($V224),"",OFFSET('Smelter Look-up'!$H$4,$V224-4,0))</f>
        <v>Kigali</v>
      </c>
      <c r="J224" s="219" t="str">
        <f ca="1">IF(ISERROR($V224),"",OFFSET('Smelter Look-up'!$I$4,$V224-4,0))</f>
        <v>Ville de Kigali</v>
      </c>
      <c r="K224" s="273"/>
      <c r="L224" s="273"/>
      <c r="M224" s="273"/>
      <c r="N224" s="273"/>
      <c r="O224" s="273"/>
      <c r="P224" s="220"/>
      <c r="Q224" s="274"/>
      <c r="R224" s="217" t="str">
        <f ca="1">IF(ISERROR($V224),"",OFFSET('Smelter Look-up'!$C$4,$V224-4,0)&amp;"")</f>
        <v>Luna Smelter, Ltd.</v>
      </c>
      <c r="S224" s="225" t="str">
        <f t="shared" ca="1" si="30"/>
        <v>RW</v>
      </c>
      <c r="T224" s="225" t="str">
        <f ca="1">IF(B224="","",IF(ISERROR(MATCH($J224,SorP!$B$1:$B$6230,0)),"",INDIRECT("'SorP'!$A$"&amp;MATCH($J224,SorP!$B$1:$B$6230,0))))</f>
        <v>RW-01</v>
      </c>
      <c r="U224" s="241"/>
      <c r="V224" s="275">
        <f>IF(C224="",NA(),MATCH($B224&amp;$C224,'Smelter Look-up'!$J:$J,0))</f>
        <v>411</v>
      </c>
      <c r="W224" s="276"/>
      <c r="X224" s="276">
        <f t="shared" ca="1" si="31"/>
        <v>0</v>
      </c>
      <c r="Y224" s="276"/>
      <c r="Z224" s="276"/>
      <c r="AB224" s="278" t="str">
        <f t="shared" si="32"/>
        <v>TinLuna Smelter, Ltd.</v>
      </c>
    </row>
    <row r="225" spans="1:28" s="277" customFormat="1" ht="27.95" customHeight="1">
      <c r="A225" s="216"/>
      <c r="B225" s="217" t="s">
        <v>1154</v>
      </c>
      <c r="C225" s="221" t="s">
        <v>14153</v>
      </c>
      <c r="D225" s="283"/>
      <c r="E225" s="217" t="str">
        <f ca="1">IF(ISERROR($V225),"",OFFSET('Smelter Look-up'!$D$4,$V225-4,0)&amp;"")</f>
        <v>CHINA</v>
      </c>
      <c r="F225" s="217" t="str">
        <f ca="1">IF(ISERROR($V225),"",OFFSET('Smelter Look-up'!$E$4,$V225-4,0))</f>
        <v>CID003379</v>
      </c>
      <c r="G225" s="217" t="str">
        <f ca="1">IF(C225=$X$4,"Enter smelter details",IF(ISERROR($V225),"",OFFSET('Smelter Look-up'!$F$4,$V225-4,0)))</f>
        <v>RMI</v>
      </c>
      <c r="H225" s="218">
        <f ca="1">IF(ISERROR($V225),"",OFFSET('Smelter Look-up'!$G$4,$V225-4,0))</f>
        <v>0</v>
      </c>
      <c r="I225" s="219" t="str">
        <f ca="1">IF(ISERROR($V225),"",OFFSET('Smelter Look-up'!$H$4,$V225-4,0))</f>
        <v>Maanshan</v>
      </c>
      <c r="J225" s="219" t="str">
        <f ca="1">IF(ISERROR($V225),"",OFFSET('Smelter Look-up'!$I$4,$V225-4,0))</f>
        <v>Anhui Sheng</v>
      </c>
      <c r="K225" s="273"/>
      <c r="L225" s="273"/>
      <c r="M225" s="273"/>
      <c r="N225" s="273"/>
      <c r="O225" s="273"/>
      <c r="P225" s="220"/>
      <c r="Q225" s="274"/>
      <c r="R225" s="217" t="str">
        <f ca="1">IF(ISERROR($V225),"",OFFSET('Smelter Look-up'!$C$4,$V225-4,0)&amp;"")</f>
        <v>Ma'anshan Weitai Tin Co., Ltd.</v>
      </c>
      <c r="S225" s="225" t="str">
        <f t="shared" ca="1" si="30"/>
        <v>CN</v>
      </c>
      <c r="T225" s="225" t="str">
        <f ca="1">IF(B225="","",IF(ISERROR(MATCH($J225,SorP!$B$1:$B$6230,0)),"",INDIRECT("'SorP'!$A$"&amp;MATCH($J225,SorP!$B$1:$B$6230,0))))</f>
        <v>CN-AH</v>
      </c>
      <c r="U225" s="241"/>
      <c r="V225" s="275">
        <f>IF(C225="",NA(),MATCH($B225&amp;$C225,'Smelter Look-up'!$J:$J,0))</f>
        <v>412</v>
      </c>
      <c r="W225" s="276"/>
      <c r="X225" s="276">
        <f t="shared" ca="1" si="31"/>
        <v>0</v>
      </c>
      <c r="Y225" s="276"/>
      <c r="Z225" s="276"/>
      <c r="AB225" s="278" t="str">
        <f t="shared" si="32"/>
        <v>TinMa'anshan Weitai Tin Co., Ltd.</v>
      </c>
    </row>
    <row r="226" spans="1:28" s="277" customFormat="1" ht="27.95" customHeight="1">
      <c r="A226" s="216"/>
      <c r="B226" s="217" t="s">
        <v>1154</v>
      </c>
      <c r="C226" s="221" t="s">
        <v>2274</v>
      </c>
      <c r="D226" s="283"/>
      <c r="E226" s="217" t="str">
        <f ca="1">IF(ISERROR($V226),"",OFFSET('Smelter Look-up'!$D$4,$V226-4,0)&amp;"")</f>
        <v>BRAZIL</v>
      </c>
      <c r="F226" s="217" t="str">
        <f ca="1">IF(ISERROR($V226),"",OFFSET('Smelter Look-up'!$E$4,$V226-4,0))</f>
        <v>CID002468</v>
      </c>
      <c r="G226" s="217" t="str">
        <f ca="1">IF(C226=$X$4,"Enter smelter details",IF(ISERROR($V226),"",OFFSET('Smelter Look-up'!$F$4,$V226-4,0)))</f>
        <v>RMI</v>
      </c>
      <c r="H226" s="218">
        <f ca="1">IF(ISERROR($V226),"",OFFSET('Smelter Look-up'!$G$4,$V226-4,0))</f>
        <v>0</v>
      </c>
      <c r="I226" s="219" t="str">
        <f ca="1">IF(ISERROR($V226),"",OFFSET('Smelter Look-up'!$H$4,$V226-4,0))</f>
        <v>São João del Rei</v>
      </c>
      <c r="J226" s="219" t="str">
        <f ca="1">IF(ISERROR($V226),"",OFFSET('Smelter Look-up'!$I$4,$V226-4,0))</f>
        <v>Minas Gerais</v>
      </c>
      <c r="K226" s="273"/>
      <c r="L226" s="273"/>
      <c r="M226" s="273"/>
      <c r="N226" s="273"/>
      <c r="O226" s="273"/>
      <c r="P226" s="220"/>
      <c r="Q226" s="274"/>
      <c r="R226" s="217" t="str">
        <f ca="1">IF(ISERROR($V226),"",OFFSET('Smelter Look-up'!$C$4,$V226-4,0)&amp;"")</f>
        <v>Magnu's Minerais Metais e Ligas Ltda.</v>
      </c>
      <c r="S226" s="225" t="str">
        <f t="shared" ca="1" si="30"/>
        <v>BR</v>
      </c>
      <c r="T226" s="225" t="str">
        <f ca="1">IF(B226="","",IF(ISERROR(MATCH($J226,SorP!$B$1:$B$6230,0)),"",INDIRECT("'SorP'!$A$"&amp;MATCH($J226,SorP!$B$1:$B$6230,0))))</f>
        <v>BR-MG</v>
      </c>
      <c r="U226" s="241"/>
      <c r="V226" s="275">
        <f>IF(C226="",NA(),MATCH($B226&amp;$C226,'Smelter Look-up'!$J:$J,0))</f>
        <v>413</v>
      </c>
      <c r="W226" s="276"/>
      <c r="X226" s="276">
        <f t="shared" ca="1" si="31"/>
        <v>0</v>
      </c>
      <c r="Y226" s="276"/>
      <c r="Z226" s="276"/>
      <c r="AB226" s="278" t="str">
        <f t="shared" si="32"/>
        <v>TinMagnu's Minerais Metais e Ligas Ltda.</v>
      </c>
    </row>
    <row r="227" spans="1:28" s="277" customFormat="1" ht="27.95" customHeight="1">
      <c r="A227" s="216"/>
      <c r="B227" s="217" t="s">
        <v>1154</v>
      </c>
      <c r="C227" s="221" t="s">
        <v>844</v>
      </c>
      <c r="D227" s="283"/>
      <c r="E227" s="217" t="str">
        <f ca="1">IF(ISERROR($V227),"",OFFSET('Smelter Look-up'!$D$4,$V227-4,0)&amp;"")</f>
        <v>MALAYSIA</v>
      </c>
      <c r="F227" s="217" t="str">
        <f ca="1">IF(ISERROR($V227),"",OFFSET('Smelter Look-up'!$E$4,$V227-4,0))</f>
        <v>CID001105</v>
      </c>
      <c r="G227" s="217" t="str">
        <f ca="1">IF(C227=$X$4,"Enter smelter details",IF(ISERROR($V227),"",OFFSET('Smelter Look-up'!$F$4,$V227-4,0)))</f>
        <v>RMI</v>
      </c>
      <c r="H227" s="218">
        <f ca="1">IF(ISERROR($V227),"",OFFSET('Smelter Look-up'!$G$4,$V227-4,0))</f>
        <v>0</v>
      </c>
      <c r="I227" s="219" t="str">
        <f ca="1">IF(ISERROR($V227),"",OFFSET('Smelter Look-up'!$H$4,$V227-4,0))</f>
        <v>Butterworth</v>
      </c>
      <c r="J227" s="219" t="str">
        <f ca="1">IF(ISERROR($V227),"",OFFSET('Smelter Look-up'!$I$4,$V227-4,0))</f>
        <v>Pulau Pinang</v>
      </c>
      <c r="K227" s="273"/>
      <c r="L227" s="273"/>
      <c r="M227" s="273"/>
      <c r="N227" s="273"/>
      <c r="O227" s="273"/>
      <c r="P227" s="220"/>
      <c r="Q227" s="274"/>
      <c r="R227" s="217" t="str">
        <f ca="1">IF(ISERROR($V227),"",OFFSET('Smelter Look-up'!$C$4,$V227-4,0)&amp;"")</f>
        <v>Malaysia Smelting Corporation (MSC)</v>
      </c>
      <c r="S227" s="225" t="str">
        <f t="shared" ca="1" si="30"/>
        <v>MY</v>
      </c>
      <c r="T227" s="225" t="str">
        <f ca="1">IF(B227="","",IF(ISERROR(MATCH($J227,SorP!$B$1:$B$6230,0)),"",INDIRECT("'SorP'!$A$"&amp;MATCH($J227,SorP!$B$1:$B$6230,0))))</f>
        <v>MY-07</v>
      </c>
      <c r="U227" s="241"/>
      <c r="V227" s="275">
        <f>IF(C227="",NA(),MATCH($B227&amp;$C227,'Smelter Look-up'!$J:$J,0))</f>
        <v>414</v>
      </c>
      <c r="W227" s="276"/>
      <c r="X227" s="276">
        <f t="shared" ca="1" si="31"/>
        <v>0</v>
      </c>
      <c r="Y227" s="276"/>
      <c r="Z227" s="276"/>
      <c r="AB227" s="278" t="str">
        <f t="shared" si="32"/>
        <v>TinMalaysia Smelting Corporation (MSC)</v>
      </c>
    </row>
    <row r="228" spans="1:28" s="277" customFormat="1" ht="27.95" customHeight="1">
      <c r="A228" s="216"/>
      <c r="B228" s="217" t="s">
        <v>1154</v>
      </c>
      <c r="C228" s="221" t="s">
        <v>2468</v>
      </c>
      <c r="D228" s="283"/>
      <c r="E228" s="217" t="str">
        <f ca="1">IF(ISERROR($V228),"",OFFSET('Smelter Look-up'!$D$4,$V228-4,0)&amp;"")</f>
        <v>BRAZIL</v>
      </c>
      <c r="F228" s="217" t="str">
        <f ca="1">IF(ISERROR($V228),"",OFFSET('Smelter Look-up'!$E$4,$V228-4,0))</f>
        <v>CID002500</v>
      </c>
      <c r="G228" s="217" t="str">
        <f ca="1">IF(C228=$X$4,"Enter smelter details",IF(ISERROR($V228),"",OFFSET('Smelter Look-up'!$F$4,$V228-4,0)))</f>
        <v>RMI</v>
      </c>
      <c r="H228" s="218">
        <f ca="1">IF(ISERROR($V228),"",OFFSET('Smelter Look-up'!$G$4,$V228-4,0))</f>
        <v>0</v>
      </c>
      <c r="I228" s="219" t="str">
        <f ca="1">IF(ISERROR($V228),"",OFFSET('Smelter Look-up'!$H$4,$V228-4,0))</f>
        <v>Ariquemes</v>
      </c>
      <c r="J228" s="219" t="str">
        <f ca="1">IF(ISERROR($V228),"",OFFSET('Smelter Look-up'!$I$4,$V228-4,0))</f>
        <v>Rondônia</v>
      </c>
      <c r="K228" s="273"/>
      <c r="L228" s="273"/>
      <c r="M228" s="273"/>
      <c r="N228" s="273"/>
      <c r="O228" s="273"/>
      <c r="P228" s="220"/>
      <c r="Q228" s="274"/>
      <c r="R228" s="217" t="str">
        <f ca="1">IF(ISERROR($V228),"",OFFSET('Smelter Look-up'!$C$4,$V228-4,0)&amp;"")</f>
        <v>Melt Metais e Ligas S.A.</v>
      </c>
      <c r="S228" s="225" t="str">
        <f t="shared" ca="1" si="30"/>
        <v>BR</v>
      </c>
      <c r="T228" s="225" t="str">
        <f ca="1">IF(B228="","",IF(ISERROR(MATCH($J228,SorP!$B$1:$B$6230,0)),"",INDIRECT("'SorP'!$A$"&amp;MATCH($J228,SorP!$B$1:$B$6230,0))))</f>
        <v>BR-RO</v>
      </c>
      <c r="U228" s="241"/>
      <c r="V228" s="275">
        <f>IF(C228="",NA(),MATCH($B228&amp;$C228,'Smelter Look-up'!$J:$J,0))</f>
        <v>415</v>
      </c>
      <c r="W228" s="276"/>
      <c r="X228" s="276">
        <f t="shared" ca="1" si="31"/>
        <v>0</v>
      </c>
      <c r="Y228" s="276"/>
      <c r="Z228" s="276"/>
      <c r="AB228" s="278" t="str">
        <f t="shared" si="32"/>
        <v>TinMelt Metais e Ligas S.A.</v>
      </c>
    </row>
    <row r="229" spans="1:28" s="277" customFormat="1" ht="27.95" customHeight="1">
      <c r="A229" s="216"/>
      <c r="B229" s="217" t="s">
        <v>1154</v>
      </c>
      <c r="C229" s="221" t="s">
        <v>2254</v>
      </c>
      <c r="D229" s="283"/>
      <c r="E229" s="217" t="str">
        <f ca="1">IF(ISERROR($V229),"",OFFSET('Smelter Look-up'!$D$4,$V229-4,0)&amp;"")</f>
        <v>UNITED STATES OF AMERICA</v>
      </c>
      <c r="F229" s="217" t="str">
        <f ca="1">IF(ISERROR($V229),"",OFFSET('Smelter Look-up'!$E$4,$V229-4,0))</f>
        <v>CID001142</v>
      </c>
      <c r="G229" s="217" t="str">
        <f ca="1">IF(C229=$X$4,"Enter smelter details",IF(ISERROR($V229),"",OFFSET('Smelter Look-up'!$F$4,$V229-4,0)))</f>
        <v>RMI</v>
      </c>
      <c r="H229" s="218">
        <f ca="1">IF(ISERROR($V229),"",OFFSET('Smelter Look-up'!$G$4,$V229-4,0))</f>
        <v>0</v>
      </c>
      <c r="I229" s="219" t="str">
        <f ca="1">IF(ISERROR($V229),"",OFFSET('Smelter Look-up'!$H$4,$V229-4,0))</f>
        <v>Twinsburg</v>
      </c>
      <c r="J229" s="219" t="str">
        <f ca="1">IF(ISERROR($V229),"",OFFSET('Smelter Look-up'!$I$4,$V229-4,0))</f>
        <v>Ohio</v>
      </c>
      <c r="K229" s="273"/>
      <c r="L229" s="273"/>
      <c r="M229" s="273"/>
      <c r="N229" s="273"/>
      <c r="O229" s="273"/>
      <c r="P229" s="220"/>
      <c r="Q229" s="274"/>
      <c r="R229" s="217" t="str">
        <f ca="1">IF(ISERROR($V229),"",OFFSET('Smelter Look-up'!$C$4,$V229-4,0)&amp;"")</f>
        <v>Metallic Resources, Inc.</v>
      </c>
      <c r="S229" s="225" t="str">
        <f t="shared" ca="1" si="30"/>
        <v>US</v>
      </c>
      <c r="T229" s="225" t="str">
        <f ca="1">IF(B229="","",IF(ISERROR(MATCH($J229,SorP!$B$1:$B$6230,0)),"",INDIRECT("'SorP'!$A$"&amp;MATCH($J229,SorP!$B$1:$B$6230,0))))</f>
        <v>US-OH</v>
      </c>
      <c r="U229" s="241"/>
      <c r="V229" s="275">
        <f>IF(C229="",NA(),MATCH($B229&amp;$C229,'Smelter Look-up'!$J:$J,0))</f>
        <v>418</v>
      </c>
      <c r="W229" s="276"/>
      <c r="X229" s="276">
        <f t="shared" ca="1" si="31"/>
        <v>0</v>
      </c>
      <c r="Y229" s="276"/>
      <c r="Z229" s="276"/>
      <c r="AB229" s="278" t="str">
        <f t="shared" si="32"/>
        <v>TinMetallic Resources, Inc.</v>
      </c>
    </row>
    <row r="230" spans="1:28" s="277" customFormat="1" ht="27.95" customHeight="1">
      <c r="A230" s="216"/>
      <c r="B230" s="217" t="s">
        <v>1154</v>
      </c>
      <c r="C230" s="221" t="s">
        <v>13267</v>
      </c>
      <c r="D230" s="283"/>
      <c r="E230" s="217" t="str">
        <f ca="1">IF(ISERROR($V230),"",OFFSET('Smelter Look-up'!$D$4,$V230-4,0)&amp;"")</f>
        <v>BELGIUM</v>
      </c>
      <c r="F230" s="217" t="str">
        <f ca="1">IF(ISERROR($V230),"",OFFSET('Smelter Look-up'!$E$4,$V230-4,0))</f>
        <v>CID002773</v>
      </c>
      <c r="G230" s="217" t="str">
        <f ca="1">IF(C230=$X$4,"Enter smelter details",IF(ISERROR($V230),"",OFFSET('Smelter Look-up'!$F$4,$V230-4,0)))</f>
        <v>RMI</v>
      </c>
      <c r="H230" s="218">
        <f ca="1">IF(ISERROR($V230),"",OFFSET('Smelter Look-up'!$G$4,$V230-4,0))</f>
        <v>0</v>
      </c>
      <c r="I230" s="219" t="str">
        <f ca="1">IF(ISERROR($V230),"",OFFSET('Smelter Look-up'!$H$4,$V230-4,0))</f>
        <v>Beerse</v>
      </c>
      <c r="J230" s="219" t="str">
        <f ca="1">IF(ISERROR($V230),"",OFFSET('Smelter Look-up'!$I$4,$V230-4,0))</f>
        <v>Antwerpen</v>
      </c>
      <c r="K230" s="273"/>
      <c r="L230" s="273"/>
      <c r="M230" s="273"/>
      <c r="N230" s="273"/>
      <c r="O230" s="273"/>
      <c r="P230" s="220"/>
      <c r="Q230" s="274"/>
      <c r="R230" s="217" t="str">
        <f ca="1">IF(ISERROR($V230),"",OFFSET('Smelter Look-up'!$C$4,$V230-4,0)&amp;"")</f>
        <v>Metallo Belgium N.V.</v>
      </c>
      <c r="S230" s="225" t="str">
        <f t="shared" ref="S230:S260" ca="1" si="33">IF(B230="","",IF(ISERROR(MATCH($E230,CL,0)),"Unknown",INDIRECT("'C'!$A$"&amp;MATCH($E230,CL,0)+1)))</f>
        <v>BE</v>
      </c>
      <c r="T230" s="225" t="str">
        <f ca="1">IF(B230="","",IF(ISERROR(MATCH($J230,SorP!$B$1:$B$6230,0)),"",INDIRECT("'SorP'!$A$"&amp;MATCH($J230,SorP!$B$1:$B$6230,0))))</f>
        <v>BE-VAN</v>
      </c>
      <c r="U230" s="241"/>
      <c r="V230" s="275">
        <f>IF(C230="",NA(),MATCH($B230&amp;$C230,'Smelter Look-up'!$J:$J,0))</f>
        <v>419</v>
      </c>
      <c r="W230" s="276"/>
      <c r="X230" s="276">
        <f t="shared" ref="X230:X260" ca="1" si="34">IF(AND(C230="Smelter not listed",OR(LEN(D230)=0,LEN(E230)=0)),1,0)</f>
        <v>0</v>
      </c>
      <c r="Y230" s="276"/>
      <c r="Z230" s="276"/>
      <c r="AB230" s="278" t="str">
        <f t="shared" ref="AB230:AB260" si="35">B230&amp;C230</f>
        <v>TinMetallo Belgium N.V.</v>
      </c>
    </row>
    <row r="231" spans="1:28" s="277" customFormat="1" ht="27.95" customHeight="1">
      <c r="A231" s="216"/>
      <c r="B231" s="217" t="s">
        <v>1154</v>
      </c>
      <c r="C231" s="221" t="s">
        <v>13268</v>
      </c>
      <c r="D231" s="283"/>
      <c r="E231" s="217" t="str">
        <f ca="1">IF(ISERROR($V231),"",OFFSET('Smelter Look-up'!$D$4,$V231-4,0)&amp;"")</f>
        <v>SPAIN</v>
      </c>
      <c r="F231" s="217" t="str">
        <f ca="1">IF(ISERROR($V231),"",OFFSET('Smelter Look-up'!$E$4,$V231-4,0))</f>
        <v>CID002774</v>
      </c>
      <c r="G231" s="217" t="str">
        <f ca="1">IF(C231=$X$4,"Enter smelter details",IF(ISERROR($V231),"",OFFSET('Smelter Look-up'!$F$4,$V231-4,0)))</f>
        <v>RMI</v>
      </c>
      <c r="H231" s="218">
        <f ca="1">IF(ISERROR($V231),"",OFFSET('Smelter Look-up'!$G$4,$V231-4,0))</f>
        <v>0</v>
      </c>
      <c r="I231" s="219" t="str">
        <f ca="1">IF(ISERROR($V231),"",OFFSET('Smelter Look-up'!$H$4,$V231-4,0))</f>
        <v>Berango</v>
      </c>
      <c r="J231" s="219" t="str">
        <f ca="1">IF(ISERROR($V231),"",OFFSET('Smelter Look-up'!$I$4,$V231-4,0))</f>
        <v>Bizkaia</v>
      </c>
      <c r="K231" s="273"/>
      <c r="L231" s="273"/>
      <c r="M231" s="273"/>
      <c r="N231" s="273"/>
      <c r="O231" s="273"/>
      <c r="P231" s="220"/>
      <c r="Q231" s="274"/>
      <c r="R231" s="217" t="str">
        <f ca="1">IF(ISERROR($V231),"",OFFSET('Smelter Look-up'!$C$4,$V231-4,0)&amp;"")</f>
        <v>Metallo Spain S.L.U.</v>
      </c>
      <c r="S231" s="225" t="str">
        <f t="shared" ca="1" si="33"/>
        <v>ES</v>
      </c>
      <c r="T231" s="225" t="str">
        <f ca="1">IF(B231="","",IF(ISERROR(MATCH($J231,SorP!$B$1:$B$6230,0)),"",INDIRECT("'SorP'!$A$"&amp;MATCH($J231,SorP!$B$1:$B$6230,0))))</f>
        <v>ES-BI</v>
      </c>
      <c r="U231" s="241"/>
      <c r="V231" s="275">
        <f>IF(C231="",NA(),MATCH($B231&amp;$C231,'Smelter Look-up'!$J:$J,0))</f>
        <v>420</v>
      </c>
      <c r="W231" s="276"/>
      <c r="X231" s="276">
        <f t="shared" ca="1" si="34"/>
        <v>0</v>
      </c>
      <c r="Y231" s="276"/>
      <c r="Z231" s="276"/>
      <c r="AB231" s="278" t="str">
        <f t="shared" si="35"/>
        <v>TinMetallo Spain S.L.U.</v>
      </c>
    </row>
    <row r="232" spans="1:28" s="277" customFormat="1" ht="27.95" customHeight="1">
      <c r="A232" s="216"/>
      <c r="B232" s="217" t="s">
        <v>1154</v>
      </c>
      <c r="C232" s="221" t="s">
        <v>1056</v>
      </c>
      <c r="D232" s="283"/>
      <c r="E232" s="217" t="str">
        <f ca="1">IF(ISERROR($V232),"",OFFSET('Smelter Look-up'!$D$4,$V232-4,0)&amp;"")</f>
        <v>BRAZIL</v>
      </c>
      <c r="F232" s="217" t="str">
        <f ca="1">IF(ISERROR($V232),"",OFFSET('Smelter Look-up'!$E$4,$V232-4,0))</f>
        <v>CID001173</v>
      </c>
      <c r="G232" s="217" t="str">
        <f ca="1">IF(C232=$X$4,"Enter smelter details",IF(ISERROR($V232),"",OFFSET('Smelter Look-up'!$F$4,$V232-4,0)))</f>
        <v>RMI</v>
      </c>
      <c r="H232" s="218">
        <f ca="1">IF(ISERROR($V232),"",OFFSET('Smelter Look-up'!$G$4,$V232-4,0))</f>
        <v>0</v>
      </c>
      <c r="I232" s="219" t="str">
        <f ca="1">IF(ISERROR($V232),"",OFFSET('Smelter Look-up'!$H$4,$V232-4,0))</f>
        <v>Bairro Guarapiranga</v>
      </c>
      <c r="J232" s="219" t="str">
        <f ca="1">IF(ISERROR($V232),"",OFFSET('Smelter Look-up'!$I$4,$V232-4,0))</f>
        <v>São Paulo</v>
      </c>
      <c r="K232" s="273"/>
      <c r="L232" s="273"/>
      <c r="M232" s="273"/>
      <c r="N232" s="273"/>
      <c r="O232" s="273"/>
      <c r="P232" s="220"/>
      <c r="Q232" s="274"/>
      <c r="R232" s="217" t="str">
        <f ca="1">IF(ISERROR($V232),"",OFFSET('Smelter Look-up'!$C$4,$V232-4,0)&amp;"")</f>
        <v>Mineracao Taboca S.A.</v>
      </c>
      <c r="S232" s="225" t="str">
        <f t="shared" ca="1" si="33"/>
        <v>BR</v>
      </c>
      <c r="T232" s="225" t="str">
        <f ca="1">IF(B232="","",IF(ISERROR(MATCH($J232,SorP!$B$1:$B$6230,0)),"",INDIRECT("'SorP'!$A$"&amp;MATCH($J232,SorP!$B$1:$B$6230,0))))</f>
        <v>BR-SP</v>
      </c>
      <c r="U232" s="241"/>
      <c r="V232" s="275">
        <f>IF(C232="",NA(),MATCH($B232&amp;$C232,'Smelter Look-up'!$J:$J,0))</f>
        <v>422</v>
      </c>
      <c r="W232" s="276"/>
      <c r="X232" s="276">
        <f t="shared" ca="1" si="34"/>
        <v>0</v>
      </c>
      <c r="Y232" s="276"/>
      <c r="Z232" s="276"/>
      <c r="AB232" s="278" t="str">
        <f t="shared" si="35"/>
        <v>TinMineração Taboca S.A.</v>
      </c>
    </row>
    <row r="233" spans="1:28" s="277" customFormat="1" ht="27.95" customHeight="1">
      <c r="A233" s="216"/>
      <c r="B233" s="217" t="s">
        <v>1154</v>
      </c>
      <c r="C233" s="221" t="s">
        <v>1057</v>
      </c>
      <c r="D233" s="283"/>
      <c r="E233" s="217" t="str">
        <f ca="1">IF(ISERROR($V233),"",OFFSET('Smelter Look-up'!$D$4,$V233-4,0)&amp;"")</f>
        <v>PERU</v>
      </c>
      <c r="F233" s="217" t="str">
        <f ca="1">IF(ISERROR($V233),"",OFFSET('Smelter Look-up'!$E$4,$V233-4,0))</f>
        <v>CID001182</v>
      </c>
      <c r="G233" s="217" t="str">
        <f ca="1">IF(C233=$X$4,"Enter smelter details",IF(ISERROR($V233),"",OFFSET('Smelter Look-up'!$F$4,$V233-4,0)))</f>
        <v>RMI</v>
      </c>
      <c r="H233" s="218">
        <f ca="1">IF(ISERROR($V233),"",OFFSET('Smelter Look-up'!$G$4,$V233-4,0))</f>
        <v>0</v>
      </c>
      <c r="I233" s="219" t="str">
        <f ca="1">IF(ISERROR($V233),"",OFFSET('Smelter Look-up'!$H$4,$V233-4,0))</f>
        <v>Paracas</v>
      </c>
      <c r="J233" s="219" t="str">
        <f ca="1">IF(ISERROR($V233),"",OFFSET('Smelter Look-up'!$I$4,$V233-4,0))</f>
        <v>Ika</v>
      </c>
      <c r="K233" s="273"/>
      <c r="L233" s="273"/>
      <c r="M233" s="273"/>
      <c r="N233" s="273"/>
      <c r="O233" s="273"/>
      <c r="P233" s="220"/>
      <c r="Q233" s="274"/>
      <c r="R233" s="217" t="str">
        <f ca="1">IF(ISERROR($V233),"",OFFSET('Smelter Look-up'!$C$4,$V233-4,0)&amp;"")</f>
        <v>Minsur</v>
      </c>
      <c r="S233" s="225" t="str">
        <f t="shared" ca="1" si="33"/>
        <v>PE</v>
      </c>
      <c r="T233" s="225" t="str">
        <f ca="1">IF(B233="","",IF(ISERROR(MATCH($J233,SorP!$B$1:$B$6230,0)),"",INDIRECT("'SorP'!$A$"&amp;MATCH($J233,SorP!$B$1:$B$6230,0))))</f>
        <v>PE-ICA</v>
      </c>
      <c r="U233" s="241"/>
      <c r="V233" s="275">
        <f>IF(C233="",NA(),MATCH($B233&amp;$C233,'Smelter Look-up'!$J:$J,0))</f>
        <v>424</v>
      </c>
      <c r="W233" s="276"/>
      <c r="X233" s="276">
        <f t="shared" ca="1" si="34"/>
        <v>0</v>
      </c>
      <c r="Y233" s="276"/>
      <c r="Z233" s="276"/>
      <c r="AB233" s="278" t="str">
        <f t="shared" si="35"/>
        <v>TinMinsur</v>
      </c>
    </row>
    <row r="234" spans="1:28" s="277" customFormat="1" ht="27.95" customHeight="1">
      <c r="A234" s="216"/>
      <c r="B234" s="217" t="s">
        <v>1154</v>
      </c>
      <c r="C234" s="221" t="s">
        <v>1187</v>
      </c>
      <c r="D234" s="283"/>
      <c r="E234" s="217" t="str">
        <f ca="1">IF(ISERROR($V234),"",OFFSET('Smelter Look-up'!$D$4,$V234-4,0)&amp;"")</f>
        <v>JAPAN</v>
      </c>
      <c r="F234" s="217" t="str">
        <f ca="1">IF(ISERROR($V234),"",OFFSET('Smelter Look-up'!$E$4,$V234-4,0))</f>
        <v>CID001191</v>
      </c>
      <c r="G234" s="217" t="str">
        <f ca="1">IF(C234=$X$4,"Enter smelter details",IF(ISERROR($V234),"",OFFSET('Smelter Look-up'!$F$4,$V234-4,0)))</f>
        <v>RMI</v>
      </c>
      <c r="H234" s="218">
        <f ca="1">IF(ISERROR($V234),"",OFFSET('Smelter Look-up'!$G$4,$V234-4,0))</f>
        <v>0</v>
      </c>
      <c r="I234" s="219" t="str">
        <f ca="1">IF(ISERROR($V234),"",OFFSET('Smelter Look-up'!$H$4,$V234-4,0))</f>
        <v>Asago</v>
      </c>
      <c r="J234" s="219" t="str">
        <f ca="1">IF(ISERROR($V234),"",OFFSET('Smelter Look-up'!$I$4,$V234-4,0))</f>
        <v>Hyogo</v>
      </c>
      <c r="K234" s="273"/>
      <c r="L234" s="273"/>
      <c r="M234" s="273"/>
      <c r="N234" s="273"/>
      <c r="O234" s="273"/>
      <c r="P234" s="220"/>
      <c r="Q234" s="274"/>
      <c r="R234" s="217" t="str">
        <f ca="1">IF(ISERROR($V234),"",OFFSET('Smelter Look-up'!$C$4,$V234-4,0)&amp;"")</f>
        <v>Mitsubishi Materials Corporation</v>
      </c>
      <c r="S234" s="225" t="str">
        <f t="shared" ca="1" si="33"/>
        <v>JP</v>
      </c>
      <c r="T234" s="225" t="str">
        <f ca="1">IF(B234="","",IF(ISERROR(MATCH($J234,SorP!$B$1:$B$6230,0)),"",INDIRECT("'SorP'!$A$"&amp;MATCH($J234,SorP!$B$1:$B$6230,0))))</f>
        <v>JP-28</v>
      </c>
      <c r="U234" s="241"/>
      <c r="V234" s="275">
        <f>IF(C234="",NA(),MATCH($B234&amp;$C234,'Smelter Look-up'!$J:$J,0))</f>
        <v>425</v>
      </c>
      <c r="W234" s="276"/>
      <c r="X234" s="276">
        <f t="shared" ca="1" si="34"/>
        <v>0</v>
      </c>
      <c r="Y234" s="276"/>
      <c r="Z234" s="276"/>
      <c r="AB234" s="278" t="str">
        <f t="shared" si="35"/>
        <v>TinMitsubishi Materials Corporation</v>
      </c>
    </row>
    <row r="235" spans="1:28" s="277" customFormat="1" ht="27.95" customHeight="1">
      <c r="A235" s="216"/>
      <c r="B235" s="217" t="s">
        <v>1154</v>
      </c>
      <c r="C235" s="221" t="s">
        <v>2436</v>
      </c>
      <c r="D235" s="283"/>
      <c r="E235" s="217" t="str">
        <f ca="1">IF(ISERROR($V235),"",OFFSET('Smelter Look-up'!$D$4,$V235-4,0)&amp;"")</f>
        <v>MALAYSIA</v>
      </c>
      <c r="F235" s="217" t="str">
        <f ca="1">IF(ISERROR($V235),"",OFFSET('Smelter Look-up'!$E$4,$V235-4,0))</f>
        <v>CID002858</v>
      </c>
      <c r="G235" s="217" t="str">
        <f ca="1">IF(C235=$X$4,"Enter smelter details",IF(ISERROR($V235),"",OFFSET('Smelter Look-up'!$F$4,$V235-4,0)))</f>
        <v>RMI</v>
      </c>
      <c r="H235" s="218">
        <f ca="1">IF(ISERROR($V235),"",OFFSET('Smelter Look-up'!$G$4,$V235-4,0))</f>
        <v>0</v>
      </c>
      <c r="I235" s="219" t="str">
        <f ca="1">IF(ISERROR($V235),"",OFFSET('Smelter Look-up'!$H$4,$V235-4,0))</f>
        <v>Kawasan Perindustrian Bukit Rambai</v>
      </c>
      <c r="J235" s="219" t="str">
        <f ca="1">IF(ISERROR($V235),"",OFFSET('Smelter Look-up'!$I$4,$V235-4,0))</f>
        <v>Melaka</v>
      </c>
      <c r="K235" s="273"/>
      <c r="L235" s="273"/>
      <c r="M235" s="273"/>
      <c r="N235" s="273"/>
      <c r="O235" s="273"/>
      <c r="P235" s="220"/>
      <c r="Q235" s="274"/>
      <c r="R235" s="217" t="str">
        <f ca="1">IF(ISERROR($V235),"",OFFSET('Smelter Look-up'!$C$4,$V235-4,0)&amp;"")</f>
        <v>Modeltech Sdn Bhd</v>
      </c>
      <c r="S235" s="225" t="str">
        <f t="shared" ca="1" si="33"/>
        <v>MY</v>
      </c>
      <c r="T235" s="225" t="str">
        <f ca="1">IF(B235="","",IF(ISERROR(MATCH($J235,SorP!$B$1:$B$6230,0)),"",INDIRECT("'SorP'!$A$"&amp;MATCH($J235,SorP!$B$1:$B$6230,0))))</f>
        <v>MY-04</v>
      </c>
      <c r="U235" s="241"/>
      <c r="V235" s="275">
        <f>IF(C235="",NA(),MATCH($B235&amp;$C235,'Smelter Look-up'!$J:$J,0))</f>
        <v>426</v>
      </c>
      <c r="W235" s="276"/>
      <c r="X235" s="276">
        <f t="shared" ca="1" si="34"/>
        <v>0</v>
      </c>
      <c r="Y235" s="276"/>
      <c r="Z235" s="276"/>
      <c r="AB235" s="278" t="str">
        <f t="shared" si="35"/>
        <v>TinModeltech Sdn Bhd</v>
      </c>
    </row>
    <row r="236" spans="1:28" s="277" customFormat="1" ht="27.95" customHeight="1">
      <c r="A236" s="216"/>
      <c r="B236" s="217" t="s">
        <v>1154</v>
      </c>
      <c r="C236" s="221" t="s">
        <v>1849</v>
      </c>
      <c r="D236" s="283"/>
      <c r="E236" s="217" t="str">
        <f ca="1">IF(ISERROR($V236),"",OFFSET('Smelter Look-up'!$D$4,$V236-4,0)&amp;"")</f>
        <v>VIET NAM</v>
      </c>
      <c r="F236" s="217" t="str">
        <f ca="1">IF(ISERROR($V236),"",OFFSET('Smelter Look-up'!$E$4,$V236-4,0))</f>
        <v>CID002573</v>
      </c>
      <c r="G236" s="217" t="str">
        <f ca="1">IF(C236=$X$4,"Enter smelter details",IF(ISERROR($V236),"",OFFSET('Smelter Look-up'!$F$4,$V236-4,0)))</f>
        <v>RMI</v>
      </c>
      <c r="H236" s="218">
        <f ca="1">IF(ISERROR($V236),"",OFFSET('Smelter Look-up'!$G$4,$V236-4,0))</f>
        <v>0</v>
      </c>
      <c r="I236" s="219" t="str">
        <f ca="1">IF(ISERROR($V236),"",OFFSET('Smelter Look-up'!$H$4,$V236-4,0))</f>
        <v>Quy Hop</v>
      </c>
      <c r="J236" s="219" t="str">
        <f ca="1">IF(ISERROR($V236),"",OFFSET('Smelter Look-up'!$I$4,$V236-4,0))</f>
        <v>Nghệ An</v>
      </c>
      <c r="K236" s="273"/>
      <c r="L236" s="273"/>
      <c r="M236" s="273"/>
      <c r="N236" s="273"/>
      <c r="O236" s="273"/>
      <c r="P236" s="220"/>
      <c r="Q236" s="274"/>
      <c r="R236" s="217" t="str">
        <f ca="1">IF(ISERROR($V236),"",OFFSET('Smelter Look-up'!$C$4,$V236-4,0)&amp;"")</f>
        <v>Nghe Tinh Non-Ferrous Metals Joint Stock Company</v>
      </c>
      <c r="S236" s="225" t="str">
        <f t="shared" ca="1" si="33"/>
        <v>VN</v>
      </c>
      <c r="T236" s="225" t="str">
        <f ca="1">IF(B236="","",IF(ISERROR(MATCH($J236,SorP!$B$1:$B$6230,0)),"",INDIRECT("'SorP'!$A$"&amp;MATCH($J236,SorP!$B$1:$B$6230,0))))</f>
        <v>VN-22</v>
      </c>
      <c r="U236" s="241"/>
      <c r="V236" s="275">
        <f>IF(C236="",NA(),MATCH($B236&amp;$C236,'Smelter Look-up'!$J:$J,0))</f>
        <v>430</v>
      </c>
      <c r="W236" s="276"/>
      <c r="X236" s="276">
        <f t="shared" ca="1" si="34"/>
        <v>0</v>
      </c>
      <c r="Y236" s="276"/>
      <c r="Z236" s="276"/>
      <c r="AB236" s="278" t="str">
        <f t="shared" si="35"/>
        <v>TinNghe Tinh Non-Ferrous Metals Joint Stock Company</v>
      </c>
    </row>
    <row r="237" spans="1:28" s="277" customFormat="1" ht="27.95" customHeight="1">
      <c r="A237" s="216"/>
      <c r="B237" s="217" t="s">
        <v>1154</v>
      </c>
      <c r="C237" s="221" t="s">
        <v>796</v>
      </c>
      <c r="D237" s="283"/>
      <c r="E237" s="217" t="str">
        <f ca="1">IF(ISERROR($V237),"",OFFSET('Smelter Look-up'!$D$4,$V237-4,0)&amp;"")</f>
        <v>THAILAND</v>
      </c>
      <c r="F237" s="217" t="str">
        <f ca="1">IF(ISERROR($V237),"",OFFSET('Smelter Look-up'!$E$4,$V237-4,0))</f>
        <v>CID001314</v>
      </c>
      <c r="G237" s="217" t="str">
        <f ca="1">IF(C237=$X$4,"Enter smelter details",IF(ISERROR($V237),"",OFFSET('Smelter Look-up'!$F$4,$V237-4,0)))</f>
        <v>RMI</v>
      </c>
      <c r="H237" s="218">
        <f ca="1">IF(ISERROR($V237),"",OFFSET('Smelter Look-up'!$G$4,$V237-4,0))</f>
        <v>0</v>
      </c>
      <c r="I237" s="219" t="str">
        <f ca="1">IF(ISERROR($V237),"",OFFSET('Smelter Look-up'!$H$4,$V237-4,0))</f>
        <v>Nongkham Sriracha</v>
      </c>
      <c r="J237" s="219" t="str">
        <f ca="1">IF(ISERROR($V237),"",OFFSET('Smelter Look-up'!$I$4,$V237-4,0))</f>
        <v>Chon Buri</v>
      </c>
      <c r="K237" s="273"/>
      <c r="L237" s="273"/>
      <c r="M237" s="273"/>
      <c r="N237" s="273"/>
      <c r="O237" s="273"/>
      <c r="P237" s="220"/>
      <c r="Q237" s="274"/>
      <c r="R237" s="217" t="str">
        <f ca="1">IF(ISERROR($V237),"",OFFSET('Smelter Look-up'!$C$4,$V237-4,0)&amp;"")</f>
        <v>O.M. Manufacturing (Thailand) Co., Ltd.</v>
      </c>
      <c r="S237" s="225" t="str">
        <f t="shared" ca="1" si="33"/>
        <v>TH</v>
      </c>
      <c r="T237" s="225" t="str">
        <f ca="1">IF(B237="","",IF(ISERROR(MATCH($J237,SorP!$B$1:$B$6230,0)),"",INDIRECT("'SorP'!$A$"&amp;MATCH($J237,SorP!$B$1:$B$6230,0))))</f>
        <v>TH-20</v>
      </c>
      <c r="U237" s="241"/>
      <c r="V237" s="275">
        <f>IF(C237="",NA(),MATCH($B237&amp;$C237,'Smelter Look-up'!$J:$J,0))</f>
        <v>431</v>
      </c>
      <c r="W237" s="276"/>
      <c r="X237" s="276">
        <f t="shared" ca="1" si="34"/>
        <v>0</v>
      </c>
      <c r="Y237" s="276"/>
      <c r="Z237" s="276"/>
      <c r="AB237" s="278" t="str">
        <f t="shared" si="35"/>
        <v>TinO.M. Manufacturing (Thailand) Co., Ltd.</v>
      </c>
    </row>
    <row r="238" spans="1:28" s="277" customFormat="1" ht="27.95" customHeight="1">
      <c r="A238" s="216"/>
      <c r="B238" s="217" t="s">
        <v>1154</v>
      </c>
      <c r="C238" s="221" t="s">
        <v>1424</v>
      </c>
      <c r="D238" s="283"/>
      <c r="E238" s="217" t="str">
        <f ca="1">IF(ISERROR($V238),"",OFFSET('Smelter Look-up'!$D$4,$V238-4,0)&amp;"")</f>
        <v>PHILIPPINES</v>
      </c>
      <c r="F238" s="217" t="str">
        <f ca="1">IF(ISERROR($V238),"",OFFSET('Smelter Look-up'!$E$4,$V238-4,0))</f>
        <v>CID002517</v>
      </c>
      <c r="G238" s="217" t="str">
        <f ca="1">IF(C238=$X$4,"Enter smelter details",IF(ISERROR($V238),"",OFFSET('Smelter Look-up'!$F$4,$V238-4,0)))</f>
        <v>RMI</v>
      </c>
      <c r="H238" s="218">
        <f ca="1">IF(ISERROR($V238),"",OFFSET('Smelter Look-up'!$G$4,$V238-4,0))</f>
        <v>0</v>
      </c>
      <c r="I238" s="219" t="str">
        <f ca="1">IF(ISERROR($V238),"",OFFSET('Smelter Look-up'!$H$4,$V238-4,0))</f>
        <v>Rosario</v>
      </c>
      <c r="J238" s="219" t="str">
        <f ca="1">IF(ISERROR($V238),"",OFFSET('Smelter Look-up'!$I$4,$V238-4,0))</f>
        <v>Cavite</v>
      </c>
      <c r="K238" s="273"/>
      <c r="L238" s="273"/>
      <c r="M238" s="273"/>
      <c r="N238" s="273"/>
      <c r="O238" s="273"/>
      <c r="P238" s="220"/>
      <c r="Q238" s="274"/>
      <c r="R238" s="217" t="str">
        <f ca="1">IF(ISERROR($V238),"",OFFSET('Smelter Look-up'!$C$4,$V238-4,0)&amp;"")</f>
        <v>O.M. Manufacturing Philippines, Inc.</v>
      </c>
      <c r="S238" s="225" t="str">
        <f t="shared" ca="1" si="33"/>
        <v>PH</v>
      </c>
      <c r="T238" s="225" t="str">
        <f ca="1">IF(B238="","",IF(ISERROR(MATCH($J238,SorP!$B$1:$B$6230,0)),"",INDIRECT("'SorP'!$A$"&amp;MATCH($J238,SorP!$B$1:$B$6230,0))))</f>
        <v>PH-CAV</v>
      </c>
      <c r="U238" s="241"/>
      <c r="V238" s="275">
        <f>IF(C238="",NA(),MATCH($B238&amp;$C238,'Smelter Look-up'!$J:$J,0))</f>
        <v>432</v>
      </c>
      <c r="W238" s="276"/>
      <c r="X238" s="276">
        <f t="shared" ca="1" si="34"/>
        <v>0</v>
      </c>
      <c r="Y238" s="276"/>
      <c r="Z238" s="276"/>
      <c r="AB238" s="278" t="str">
        <f t="shared" si="35"/>
        <v>TinO.M. Manufacturing Philippines, Inc.</v>
      </c>
    </row>
    <row r="239" spans="1:28" s="277" customFormat="1" ht="27.95" customHeight="1">
      <c r="A239" s="216"/>
      <c r="B239" s="217" t="s">
        <v>1154</v>
      </c>
      <c r="C239" s="221" t="s">
        <v>14156</v>
      </c>
      <c r="D239" s="283"/>
      <c r="E239" s="217" t="str">
        <f ca="1">IF(ISERROR($V239),"",OFFSET('Smelter Look-up'!$D$4,$V239-4,0)&amp;"")</f>
        <v>BOLIVIA (PLURINATIONAL STATE OF)</v>
      </c>
      <c r="F239" s="217" t="str">
        <f ca="1">IF(ISERROR($V239),"",OFFSET('Smelter Look-up'!$E$4,$V239-4,0))</f>
        <v>CID001337</v>
      </c>
      <c r="G239" s="217" t="str">
        <f ca="1">IF(C239=$X$4,"Enter smelter details",IF(ISERROR($V239),"",OFFSET('Smelter Look-up'!$F$4,$V239-4,0)))</f>
        <v>RMI</v>
      </c>
      <c r="H239" s="218">
        <f ca="1">IF(ISERROR($V239),"",OFFSET('Smelter Look-up'!$G$4,$V239-4,0))</f>
        <v>0</v>
      </c>
      <c r="I239" s="219" t="str">
        <f ca="1">IF(ISERROR($V239),"",OFFSET('Smelter Look-up'!$H$4,$V239-4,0))</f>
        <v>Oruro</v>
      </c>
      <c r="J239" s="219" t="str">
        <f ca="1">IF(ISERROR($V239),"",OFFSET('Smelter Look-up'!$I$4,$V239-4,0))</f>
        <v>Oruro</v>
      </c>
      <c r="K239" s="273"/>
      <c r="L239" s="273"/>
      <c r="M239" s="273"/>
      <c r="N239" s="273"/>
      <c r="O239" s="273"/>
      <c r="P239" s="220"/>
      <c r="Q239" s="274"/>
      <c r="R239" s="217" t="str">
        <f ca="1">IF(ISERROR($V239),"",OFFSET('Smelter Look-up'!$C$4,$V239-4,0)&amp;"")</f>
        <v>Operaciones Metalurgicas S.A.</v>
      </c>
      <c r="S239" s="225" t="str">
        <f t="shared" ca="1" si="33"/>
        <v>BO</v>
      </c>
      <c r="T239" s="225" t="str">
        <f ca="1">IF(B239="","",IF(ISERROR(MATCH($J239,SorP!$B$1:$B$6230,0)),"",INDIRECT("'SorP'!$A$"&amp;MATCH($J239,SorP!$B$1:$B$6230,0))))</f>
        <v>BO-O</v>
      </c>
      <c r="U239" s="241"/>
      <c r="V239" s="275">
        <f>IF(C239="",NA(),MATCH($B239&amp;$C239,'Smelter Look-up'!$J:$J,0))</f>
        <v>435</v>
      </c>
      <c r="W239" s="276"/>
      <c r="X239" s="276">
        <f t="shared" ca="1" si="34"/>
        <v>0</v>
      </c>
      <c r="Y239" s="276"/>
      <c r="Z239" s="276"/>
      <c r="AB239" s="278" t="str">
        <f t="shared" si="35"/>
        <v>TinOperaciones Metalúrgicas S.A.</v>
      </c>
    </row>
    <row r="240" spans="1:28" s="277" customFormat="1" ht="27.95" customHeight="1">
      <c r="A240" s="216"/>
      <c r="B240" s="217" t="s">
        <v>1154</v>
      </c>
      <c r="C240" s="221" t="s">
        <v>13269</v>
      </c>
      <c r="D240" s="283"/>
      <c r="E240" s="217" t="str">
        <f ca="1">IF(ISERROR($V240),"",OFFSET('Smelter Look-up'!$D$4,$V240-4,0)&amp;"")</f>
        <v>MYANMAR</v>
      </c>
      <c r="F240" s="217" t="str">
        <f ca="1">IF(ISERROR($V240),"",OFFSET('Smelter Look-up'!$E$4,$V240-4,0))</f>
        <v>CID003208</v>
      </c>
      <c r="G240" s="217" t="str">
        <f ca="1">IF(C240=$X$4,"Enter smelter details",IF(ISERROR($V240),"",OFFSET('Smelter Look-up'!$F$4,$V240-4,0)))</f>
        <v>RMI</v>
      </c>
      <c r="H240" s="218">
        <f ca="1">IF(ISERROR($V240),"",OFFSET('Smelter Look-up'!$G$4,$V240-4,0))</f>
        <v>0</v>
      </c>
      <c r="I240" s="219" t="str">
        <f ca="1">IF(ISERROR($V240),"",OFFSET('Smelter Look-up'!$H$4,$V240-4,0))</f>
        <v>Yangon</v>
      </c>
      <c r="J240" s="219" t="str">
        <f ca="1">IF(ISERROR($V240),"",OFFSET('Smelter Look-up'!$I$4,$V240-4,0))</f>
        <v>Yangon</v>
      </c>
      <c r="K240" s="273"/>
      <c r="L240" s="273"/>
      <c r="M240" s="273"/>
      <c r="N240" s="273"/>
      <c r="O240" s="273"/>
      <c r="P240" s="220"/>
      <c r="Q240" s="274"/>
      <c r="R240" s="217" t="str">
        <f ca="1">IF(ISERROR($V240),"",OFFSET('Smelter Look-up'!$C$4,$V240-4,0)&amp;"")</f>
        <v>Pongpipat Company Limited</v>
      </c>
      <c r="S240" s="225" t="str">
        <f t="shared" ca="1" si="33"/>
        <v>MM</v>
      </c>
      <c r="T240" s="225" t="str">
        <f ca="1">IF(B240="","",IF(ISERROR(MATCH($J240,SorP!$B$1:$B$6230,0)),"",INDIRECT("'SorP'!$A$"&amp;MATCH($J240,SorP!$B$1:$B$6230,0))))</f>
        <v>MM-06</v>
      </c>
      <c r="U240" s="241"/>
      <c r="V240" s="275">
        <f>IF(C240="",NA(),MATCH($B240&amp;$C240,'Smelter Look-up'!$J:$J,0))</f>
        <v>436</v>
      </c>
      <c r="W240" s="276"/>
      <c r="X240" s="276">
        <f t="shared" ca="1" si="34"/>
        <v>0</v>
      </c>
      <c r="Y240" s="276"/>
      <c r="Z240" s="276"/>
      <c r="AB240" s="278" t="str">
        <f t="shared" si="35"/>
        <v>TinPongpipat Company Limited</v>
      </c>
    </row>
    <row r="241" spans="1:28" s="277" customFormat="1" ht="27.95" customHeight="1">
      <c r="A241" s="216"/>
      <c r="B241" s="217" t="s">
        <v>1154</v>
      </c>
      <c r="C241" s="221" t="s">
        <v>14157</v>
      </c>
      <c r="D241" s="283"/>
      <c r="E241" s="217" t="str">
        <f ca="1">IF(ISERROR($V241),"",OFFSET('Smelter Look-up'!$D$4,$V241-4,0)&amp;"")</f>
        <v>INDIA</v>
      </c>
      <c r="F241" s="217" t="str">
        <f ca="1">IF(ISERROR($V241),"",OFFSET('Smelter Look-up'!$E$4,$V241-4,0))</f>
        <v>CID003409</v>
      </c>
      <c r="G241" s="217" t="str">
        <f ca="1">IF(C241=$X$4,"Enter smelter details",IF(ISERROR($V241),"",OFFSET('Smelter Look-up'!$F$4,$V241-4,0)))</f>
        <v>RMI</v>
      </c>
      <c r="H241" s="218">
        <f ca="1">IF(ISERROR($V241),"",OFFSET('Smelter Look-up'!$G$4,$V241-4,0))</f>
        <v>0</v>
      </c>
      <c r="I241" s="219" t="str">
        <f ca="1">IF(ISERROR($V241),"",OFFSET('Smelter Look-up'!$H$4,$V241-4,0))</f>
        <v>Jagdalpur</v>
      </c>
      <c r="J241" s="219" t="str">
        <f ca="1">IF(ISERROR($V241),"",OFFSET('Smelter Look-up'!$I$4,$V241-4,0))</f>
        <v>Chhattisgarh</v>
      </c>
      <c r="K241" s="273"/>
      <c r="L241" s="273"/>
      <c r="M241" s="273"/>
      <c r="N241" s="273"/>
      <c r="O241" s="273"/>
      <c r="P241" s="220"/>
      <c r="Q241" s="274"/>
      <c r="R241" s="217" t="str">
        <f ca="1">IF(ISERROR($V241),"",OFFSET('Smelter Look-up'!$C$4,$V241-4,0)&amp;"")</f>
        <v>Precious Minerals and Smelting Limited</v>
      </c>
      <c r="S241" s="225" t="str">
        <f t="shared" ca="1" si="33"/>
        <v>IN</v>
      </c>
      <c r="T241" s="225" t="str">
        <f ca="1">IF(B241="","",IF(ISERROR(MATCH($J241,SorP!$B$1:$B$6230,0)),"",INDIRECT("'SorP'!$A$"&amp;MATCH($J241,SorP!$B$1:$B$6230,0))))</f>
        <v>IN-CT</v>
      </c>
      <c r="U241" s="241"/>
      <c r="V241" s="275">
        <f>IF(C241="",NA(),MATCH($B241&amp;$C241,'Smelter Look-up'!$J:$J,0))</f>
        <v>437</v>
      </c>
      <c r="W241" s="276"/>
      <c r="X241" s="276">
        <f t="shared" ca="1" si="34"/>
        <v>0</v>
      </c>
      <c r="Y241" s="276"/>
      <c r="Z241" s="276"/>
      <c r="AB241" s="278" t="str">
        <f t="shared" si="35"/>
        <v>TinPrecious Minerals and Smelting Limited</v>
      </c>
    </row>
    <row r="242" spans="1:28" s="277" customFormat="1" ht="27.95" customHeight="1">
      <c r="A242" s="216"/>
      <c r="B242" s="217" t="s">
        <v>1154</v>
      </c>
      <c r="C242" s="221" t="s">
        <v>867</v>
      </c>
      <c r="D242" s="283"/>
      <c r="E242" s="217" t="str">
        <f ca="1">IF(ISERROR($V242),"",OFFSET('Smelter Look-up'!$D$4,$V242-4,0)&amp;"")</f>
        <v>INDONESIA</v>
      </c>
      <c r="F242" s="217" t="str">
        <f ca="1">IF(ISERROR($V242),"",OFFSET('Smelter Look-up'!$E$4,$V242-4,0))</f>
        <v>CID001399</v>
      </c>
      <c r="G242" s="217" t="str">
        <f ca="1">IF(C242=$X$4,"Enter smelter details",IF(ISERROR($V242),"",OFFSET('Smelter Look-up'!$F$4,$V242-4,0)))</f>
        <v>RMI</v>
      </c>
      <c r="H242" s="218">
        <f ca="1">IF(ISERROR($V242),"",OFFSET('Smelter Look-up'!$G$4,$V242-4,0))</f>
        <v>0</v>
      </c>
      <c r="I242" s="219" t="str">
        <f ca="1">IF(ISERROR($V242),"",OFFSET('Smelter Look-up'!$H$4,$V242-4,0))</f>
        <v>Sungailiat</v>
      </c>
      <c r="J242" s="219" t="str">
        <f ca="1">IF(ISERROR($V242),"",OFFSET('Smelter Look-up'!$I$4,$V242-4,0))</f>
        <v>Kepulauan Bangka Belitung</v>
      </c>
      <c r="K242" s="273"/>
      <c r="L242" s="273"/>
      <c r="M242" s="273"/>
      <c r="N242" s="273"/>
      <c r="O242" s="273"/>
      <c r="P242" s="220"/>
      <c r="Q242" s="274"/>
      <c r="R242" s="217" t="str">
        <f ca="1">IF(ISERROR($V242),"",OFFSET('Smelter Look-up'!$C$4,$V242-4,0)&amp;"")</f>
        <v>PT Artha Cipta Langgeng</v>
      </c>
      <c r="S242" s="225" t="str">
        <f t="shared" ca="1" si="33"/>
        <v>ID</v>
      </c>
      <c r="T242" s="225" t="str">
        <f ca="1">IF(B242="","",IF(ISERROR(MATCH($J242,SorP!$B$1:$B$6230,0)),"",INDIRECT("'SorP'!$A$"&amp;MATCH($J242,SorP!$B$1:$B$6230,0))))</f>
        <v>ID-BB</v>
      </c>
      <c r="U242" s="241"/>
      <c r="V242" s="275">
        <f>IF(C242="",NA(),MATCH($B242&amp;$C242,'Smelter Look-up'!$J:$J,0))</f>
        <v>438</v>
      </c>
      <c r="W242" s="276"/>
      <c r="X242" s="276">
        <f t="shared" ca="1" si="34"/>
        <v>0</v>
      </c>
      <c r="Y242" s="276"/>
      <c r="Z242" s="276"/>
      <c r="AB242" s="278" t="str">
        <f t="shared" si="35"/>
        <v>TinPT Artha Cipta Langgeng</v>
      </c>
    </row>
    <row r="243" spans="1:28" s="277" customFormat="1" ht="27.95" customHeight="1">
      <c r="A243" s="216"/>
      <c r="B243" s="217" t="s">
        <v>1154</v>
      </c>
      <c r="C243" s="221" t="s">
        <v>1426</v>
      </c>
      <c r="D243" s="283"/>
      <c r="E243" s="217" t="str">
        <f ca="1">IF(ISERROR($V243),"",OFFSET('Smelter Look-up'!$D$4,$V243-4,0)&amp;"")</f>
        <v>INDONESIA</v>
      </c>
      <c r="F243" s="217" t="str">
        <f ca="1">IF(ISERROR($V243),"",OFFSET('Smelter Look-up'!$E$4,$V243-4,0))</f>
        <v>CID002503</v>
      </c>
      <c r="G243" s="217" t="str">
        <f ca="1">IF(C243=$X$4,"Enter smelter details",IF(ISERROR($V243),"",OFFSET('Smelter Look-up'!$F$4,$V243-4,0)))</f>
        <v>RMI</v>
      </c>
      <c r="H243" s="218">
        <f ca="1">IF(ISERROR($V243),"",OFFSET('Smelter Look-up'!$G$4,$V243-4,0))</f>
        <v>0</v>
      </c>
      <c r="I243" s="219" t="str">
        <f ca="1">IF(ISERROR($V243),"",OFFSET('Smelter Look-up'!$H$4,$V243-4,0))</f>
        <v>Sungailiat</v>
      </c>
      <c r="J243" s="219" t="str">
        <f ca="1">IF(ISERROR($V243),"",OFFSET('Smelter Look-up'!$I$4,$V243-4,0))</f>
        <v>Kepulauan Bangka Belitung</v>
      </c>
      <c r="K243" s="273"/>
      <c r="L243" s="273"/>
      <c r="M243" s="273"/>
      <c r="N243" s="273"/>
      <c r="O243" s="273"/>
      <c r="P243" s="220"/>
      <c r="Q243" s="274"/>
      <c r="R243" s="217" t="str">
        <f ca="1">IF(ISERROR($V243),"",OFFSET('Smelter Look-up'!$C$4,$V243-4,0)&amp;"")</f>
        <v>PT ATD Makmur Mandiri Jaya</v>
      </c>
      <c r="S243" s="225" t="str">
        <f t="shared" ca="1" si="33"/>
        <v>ID</v>
      </c>
      <c r="T243" s="225" t="str">
        <f ca="1">IF(B243="","",IF(ISERROR(MATCH($J243,SorP!$B$1:$B$6230,0)),"",INDIRECT("'SorP'!$A$"&amp;MATCH($J243,SorP!$B$1:$B$6230,0))))</f>
        <v>ID-BB</v>
      </c>
      <c r="U243" s="241"/>
      <c r="V243" s="275">
        <f>IF(C243="",NA(),MATCH($B243&amp;$C243,'Smelter Look-up'!$J:$J,0))</f>
        <v>439</v>
      </c>
      <c r="W243" s="276"/>
      <c r="X243" s="276">
        <f t="shared" ca="1" si="34"/>
        <v>0</v>
      </c>
      <c r="Y243" s="276"/>
      <c r="Z243" s="276"/>
      <c r="AB243" s="278" t="str">
        <f t="shared" si="35"/>
        <v>TinPT ATD Makmur Mandiri Jaya</v>
      </c>
    </row>
    <row r="244" spans="1:28" s="277" customFormat="1" ht="27.95" customHeight="1">
      <c r="A244" s="216"/>
      <c r="B244" s="217" t="s">
        <v>1154</v>
      </c>
      <c r="C244" s="221" t="s">
        <v>1898</v>
      </c>
      <c r="D244" s="221" t="s">
        <v>15513</v>
      </c>
      <c r="E244" s="217" t="s">
        <v>1128</v>
      </c>
      <c r="F244" s="217" t="s">
        <v>15520</v>
      </c>
      <c r="G244" s="217"/>
      <c r="H244" s="218">
        <f ca="1">IF(ISERROR($V244),"",OFFSET('Smelter Look-up'!$G$4,$V244-4,0))</f>
        <v>0</v>
      </c>
      <c r="I244" s="219">
        <f ca="1">IF(ISERROR($V244),"",OFFSET('Smelter Look-up'!$H$4,$V244-4,0))</f>
        <v>0</v>
      </c>
      <c r="J244" s="219">
        <f ca="1">IF(ISERROR($V244),"",OFFSET('Smelter Look-up'!$I$4,$V244-4,0))</f>
        <v>0</v>
      </c>
      <c r="K244" s="273"/>
      <c r="L244" s="273"/>
      <c r="M244" s="273"/>
      <c r="N244" s="273"/>
      <c r="O244" s="273"/>
      <c r="P244" s="220"/>
      <c r="Q244" s="274"/>
      <c r="R244" s="217" t="str">
        <f ca="1">IF(ISERROR($V244),"",OFFSET('Smelter Look-up'!$C$4,$V244-4,0)&amp;"")</f>
        <v/>
      </c>
      <c r="S244" s="225" t="str">
        <f t="shared" ca="1" si="33"/>
        <v>ID</v>
      </c>
      <c r="T244" s="225" t="str">
        <f ca="1">IF(B244="","",IF(ISERROR(MATCH($J244,SorP!$B$1:$B$6230,0)),"",INDIRECT("'SorP'!$A$"&amp;MATCH($J244,SorP!$B$1:$B$6230,0))))</f>
        <v/>
      </c>
      <c r="U244" s="241"/>
      <c r="V244" s="275">
        <f>IF(C244="",NA(),MATCH($B244&amp;$C244,'Smelter Look-up'!$J:$J,0))</f>
        <v>484</v>
      </c>
      <c r="W244" s="276"/>
      <c r="X244" s="276">
        <f t="shared" si="34"/>
        <v>0</v>
      </c>
      <c r="Y244" s="276"/>
      <c r="Z244" s="276"/>
      <c r="AB244" s="278" t="str">
        <f t="shared" si="35"/>
        <v>TinSmelter not listed</v>
      </c>
    </row>
    <row r="245" spans="1:28" s="277" customFormat="1" ht="27.95" customHeight="1">
      <c r="A245" s="216"/>
      <c r="B245" s="217" t="s">
        <v>1154</v>
      </c>
      <c r="C245" s="221" t="s">
        <v>643</v>
      </c>
      <c r="D245" s="283"/>
      <c r="E245" s="217" t="str">
        <f ca="1">IF(ISERROR($V245),"",OFFSET('Smelter Look-up'!$D$4,$V245-4,0)&amp;"")</f>
        <v>INDONESIA</v>
      </c>
      <c r="F245" s="217" t="str">
        <f ca="1">IF(ISERROR($V245),"",OFFSET('Smelter Look-up'!$E$4,$V245-4,0))</f>
        <v>CID001453</v>
      </c>
      <c r="G245" s="217" t="str">
        <f ca="1">IF(C245=$X$4,"Enter smelter details",IF(ISERROR($V245),"",OFFSET('Smelter Look-up'!$F$4,$V245-4,0)))</f>
        <v>RMI</v>
      </c>
      <c r="H245" s="218">
        <f ca="1">IF(ISERROR($V245),"",OFFSET('Smelter Look-up'!$G$4,$V245-4,0))</f>
        <v>0</v>
      </c>
      <c r="I245" s="219" t="str">
        <f ca="1">IF(ISERROR($V245),"",OFFSET('Smelter Look-up'!$H$4,$V245-4,0))</f>
        <v>Sungailiat</v>
      </c>
      <c r="J245" s="219" t="str">
        <f ca="1">IF(ISERROR($V245),"",OFFSET('Smelter Look-up'!$I$4,$V245-4,0))</f>
        <v>Kepulauan Bangka Belitung</v>
      </c>
      <c r="K245" s="273"/>
      <c r="L245" s="273"/>
      <c r="M245" s="273"/>
      <c r="N245" s="273"/>
      <c r="O245" s="273"/>
      <c r="P245" s="220"/>
      <c r="Q245" s="274"/>
      <c r="R245" s="217" t="str">
        <f ca="1">IF(ISERROR($V245),"",OFFSET('Smelter Look-up'!$C$4,$V245-4,0)&amp;"")</f>
        <v>PT Mitra Stania Prima</v>
      </c>
      <c r="S245" s="225" t="str">
        <f t="shared" ca="1" si="33"/>
        <v>ID</v>
      </c>
      <c r="T245" s="225" t="str">
        <f ca="1">IF(B245="","",IF(ISERROR(MATCH($J245,SorP!$B$1:$B$6230,0)),"",INDIRECT("'SorP'!$A$"&amp;MATCH($J245,SorP!$B$1:$B$6230,0))))</f>
        <v>ID-BB</v>
      </c>
      <c r="U245" s="241"/>
      <c r="V245" s="275">
        <f>IF(C245="",NA(),MATCH($B245&amp;$C245,'Smelter Look-up'!$J:$J,0))</f>
        <v>441</v>
      </c>
      <c r="W245" s="276"/>
      <c r="X245" s="276">
        <f t="shared" ca="1" si="34"/>
        <v>0</v>
      </c>
      <c r="Y245" s="276"/>
      <c r="Z245" s="276"/>
      <c r="AB245" s="278" t="str">
        <f t="shared" si="35"/>
        <v>TinPT Mitra Stania Prima</v>
      </c>
    </row>
    <row r="246" spans="1:28" s="277" customFormat="1" ht="27.95" customHeight="1">
      <c r="A246" s="216"/>
      <c r="B246" s="217" t="s">
        <v>1154</v>
      </c>
      <c r="C246" s="221" t="s">
        <v>1898</v>
      </c>
      <c r="D246" s="221" t="s">
        <v>15514</v>
      </c>
      <c r="E246" s="217" t="s">
        <v>1128</v>
      </c>
      <c r="F246" s="217" t="s">
        <v>15521</v>
      </c>
      <c r="G246" s="217"/>
      <c r="H246" s="218">
        <f ca="1">IF(ISERROR($V246),"",OFFSET('Smelter Look-up'!$G$4,$V246-4,0))</f>
        <v>0</v>
      </c>
      <c r="I246" s="219">
        <f ca="1">IF(ISERROR($V246),"",OFFSET('Smelter Look-up'!$H$4,$V246-4,0))</f>
        <v>0</v>
      </c>
      <c r="J246" s="219">
        <f ca="1">IF(ISERROR($V246),"",OFFSET('Smelter Look-up'!$I$4,$V246-4,0))</f>
        <v>0</v>
      </c>
      <c r="K246" s="273"/>
      <c r="L246" s="273"/>
      <c r="M246" s="273"/>
      <c r="N246" s="273"/>
      <c r="O246" s="273"/>
      <c r="P246" s="220"/>
      <c r="Q246" s="274"/>
      <c r="R246" s="217" t="str">
        <f ca="1">IF(ISERROR($V246),"",OFFSET('Smelter Look-up'!$C$4,$V246-4,0)&amp;"")</f>
        <v/>
      </c>
      <c r="S246" s="225" t="str">
        <f t="shared" ca="1" si="33"/>
        <v>ID</v>
      </c>
      <c r="T246" s="225" t="str">
        <f ca="1">IF(B246="","",IF(ISERROR(MATCH($J246,SorP!$B$1:$B$6230,0)),"",INDIRECT("'SorP'!$A$"&amp;MATCH($J246,SorP!$B$1:$B$6230,0))))</f>
        <v/>
      </c>
      <c r="U246" s="241"/>
      <c r="V246" s="275">
        <f>IF(C246="",NA(),MATCH($B246&amp;$C246,'Smelter Look-up'!$J:$J,0))</f>
        <v>484</v>
      </c>
      <c r="W246" s="276"/>
      <c r="X246" s="276">
        <f t="shared" si="34"/>
        <v>0</v>
      </c>
      <c r="Y246" s="276"/>
      <c r="Z246" s="276"/>
      <c r="AB246" s="278" t="str">
        <f t="shared" si="35"/>
        <v>TinSmelter not listed</v>
      </c>
    </row>
    <row r="247" spans="1:28" s="277" customFormat="1" ht="27.95" customHeight="1">
      <c r="A247" s="216"/>
      <c r="B247" s="217" t="s">
        <v>1154</v>
      </c>
      <c r="C247" s="221" t="s">
        <v>2262</v>
      </c>
      <c r="D247" s="283"/>
      <c r="E247" s="217" t="str">
        <f ca="1">IF(ISERROR($V247),"",OFFSET('Smelter Look-up'!$D$4,$V247-4,0)&amp;"")</f>
        <v>INDONESIA</v>
      </c>
      <c r="F247" s="217" t="str">
        <f ca="1">IF(ISERROR($V247),"",OFFSET('Smelter Look-up'!$E$4,$V247-4,0))</f>
        <v>CID001460</v>
      </c>
      <c r="G247" s="217" t="str">
        <f ca="1">IF(C247=$X$4,"Enter smelter details",IF(ISERROR($V247),"",OFFSET('Smelter Look-up'!$F$4,$V247-4,0)))</f>
        <v>RMI</v>
      </c>
      <c r="H247" s="218">
        <f ca="1">IF(ISERROR($V247),"",OFFSET('Smelter Look-up'!$G$4,$V247-4,0))</f>
        <v>0</v>
      </c>
      <c r="I247" s="219" t="str">
        <f ca="1">IF(ISERROR($V247),"",OFFSET('Smelter Look-up'!$H$4,$V247-4,0))</f>
        <v>Sungailiat</v>
      </c>
      <c r="J247" s="219" t="str">
        <f ca="1">IF(ISERROR($V247),"",OFFSET('Smelter Look-up'!$I$4,$V247-4,0))</f>
        <v>Kepulauan Bangka Belitung</v>
      </c>
      <c r="K247" s="273"/>
      <c r="L247" s="273"/>
      <c r="M247" s="273"/>
      <c r="N247" s="273"/>
      <c r="O247" s="273"/>
      <c r="P247" s="220"/>
      <c r="Q247" s="274"/>
      <c r="R247" s="217" t="str">
        <f ca="1">IF(ISERROR($V247),"",OFFSET('Smelter Look-up'!$C$4,$V247-4,0)&amp;"")</f>
        <v>PT Refined Bangka Tin</v>
      </c>
      <c r="S247" s="225" t="str">
        <f t="shared" ca="1" si="33"/>
        <v>ID</v>
      </c>
      <c r="T247" s="225" t="str">
        <f ca="1">IF(B247="","",IF(ISERROR(MATCH($J247,SorP!$B$1:$B$6230,0)),"",INDIRECT("'SorP'!$A$"&amp;MATCH($J247,SorP!$B$1:$B$6230,0))))</f>
        <v>ID-BB</v>
      </c>
      <c r="U247" s="241"/>
      <c r="V247" s="275">
        <f>IF(C247="",NA(),MATCH($B247&amp;$C247,'Smelter Look-up'!$J:$J,0))</f>
        <v>443</v>
      </c>
      <c r="W247" s="276"/>
      <c r="X247" s="276">
        <f t="shared" ca="1" si="34"/>
        <v>0</v>
      </c>
      <c r="Y247" s="276"/>
      <c r="Z247" s="276"/>
      <c r="AB247" s="278" t="str">
        <f t="shared" si="35"/>
        <v>TinPT Refined Bangka Tin</v>
      </c>
    </row>
    <row r="248" spans="1:28" s="277" customFormat="1" ht="27.95" customHeight="1">
      <c r="A248" s="216"/>
      <c r="B248" s="217" t="s">
        <v>1154</v>
      </c>
      <c r="C248" s="221" t="s">
        <v>14152</v>
      </c>
      <c r="D248" s="283"/>
      <c r="E248" s="217" t="str">
        <f ca="1">IF(ISERROR($V248),"",OFFSET('Smelter Look-up'!$D$4,$V248-4,0)&amp;"")</f>
        <v>INDONESIA</v>
      </c>
      <c r="F248" s="217" t="str">
        <f ca="1">IF(ISERROR($V248),"",OFFSET('Smelter Look-up'!$E$4,$V248-4,0))</f>
        <v>CID001477</v>
      </c>
      <c r="G248" s="217" t="str">
        <f ca="1">IF(C248=$X$4,"Enter smelter details",IF(ISERROR($V248),"",OFFSET('Smelter Look-up'!$F$4,$V248-4,0)))</f>
        <v>RMI</v>
      </c>
      <c r="H248" s="218">
        <f ca="1">IF(ISERROR($V248),"",OFFSET('Smelter Look-up'!$G$4,$V248-4,0))</f>
        <v>0</v>
      </c>
      <c r="I248" s="219" t="str">
        <f ca="1">IF(ISERROR($V248),"",OFFSET('Smelter Look-up'!$H$4,$V248-4,0))</f>
        <v>Kundur</v>
      </c>
      <c r="J248" s="219" t="str">
        <f ca="1">IF(ISERROR($V248),"",OFFSET('Smelter Look-up'!$I$4,$V248-4,0))</f>
        <v>Riau</v>
      </c>
      <c r="K248" s="273"/>
      <c r="L248" s="273"/>
      <c r="M248" s="273"/>
      <c r="N248" s="273"/>
      <c r="O248" s="273"/>
      <c r="P248" s="220"/>
      <c r="Q248" s="274"/>
      <c r="R248" s="217" t="str">
        <f ca="1">IF(ISERROR($V248),"",OFFSET('Smelter Look-up'!$C$4,$V248-4,0)&amp;"")</f>
        <v>PT Timah Tbk Kundur</v>
      </c>
      <c r="S248" s="225" t="str">
        <f t="shared" ca="1" si="33"/>
        <v>ID</v>
      </c>
      <c r="T248" s="225" t="str">
        <f ca="1">IF(B248="","",IF(ISERROR(MATCH($J248,SorP!$B$1:$B$6230,0)),"",INDIRECT("'SorP'!$A$"&amp;MATCH($J248,SorP!$B$1:$B$6230,0))))</f>
        <v>ID-RI</v>
      </c>
      <c r="U248" s="241"/>
      <c r="V248" s="275">
        <f>IF(C248="",NA(),MATCH($B248&amp;$C248,'Smelter Look-up'!$J:$J,0))</f>
        <v>445</v>
      </c>
      <c r="W248" s="276"/>
      <c r="X248" s="276">
        <f t="shared" ca="1" si="34"/>
        <v>0</v>
      </c>
      <c r="Y248" s="276"/>
      <c r="Z248" s="276"/>
      <c r="AB248" s="278" t="str">
        <f t="shared" si="35"/>
        <v>TinPT Timah Tbk Kundur</v>
      </c>
    </row>
    <row r="249" spans="1:28" s="277" customFormat="1" ht="27.95" customHeight="1">
      <c r="A249" s="216"/>
      <c r="B249" s="217" t="s">
        <v>1154</v>
      </c>
      <c r="C249" s="221" t="s">
        <v>14151</v>
      </c>
      <c r="D249" s="283"/>
      <c r="E249" s="217" t="str">
        <f ca="1">IF(ISERROR($V249),"",OFFSET('Smelter Look-up'!$D$4,$V249-4,0)&amp;"")</f>
        <v>INDONESIA</v>
      </c>
      <c r="F249" s="217" t="str">
        <f ca="1">IF(ISERROR($V249),"",OFFSET('Smelter Look-up'!$E$4,$V249-4,0))</f>
        <v>CID001482</v>
      </c>
      <c r="G249" s="217" t="str">
        <f ca="1">IF(C249=$X$4,"Enter smelter details",IF(ISERROR($V249),"",OFFSET('Smelter Look-up'!$F$4,$V249-4,0)))</f>
        <v>RMI</v>
      </c>
      <c r="H249" s="218">
        <f ca="1">IF(ISERROR($V249),"",OFFSET('Smelter Look-up'!$G$4,$V249-4,0))</f>
        <v>0</v>
      </c>
      <c r="I249" s="219" t="str">
        <f ca="1">IF(ISERROR($V249),"",OFFSET('Smelter Look-up'!$H$4,$V249-4,0))</f>
        <v>Mentok</v>
      </c>
      <c r="J249" s="219" t="str">
        <f ca="1">IF(ISERROR($V249),"",OFFSET('Smelter Look-up'!$I$4,$V249-4,0))</f>
        <v>Kepulauan Bangka Belitung</v>
      </c>
      <c r="K249" s="273"/>
      <c r="L249" s="273"/>
      <c r="M249" s="273"/>
      <c r="N249" s="273"/>
      <c r="O249" s="273"/>
      <c r="P249" s="220"/>
      <c r="Q249" s="274"/>
      <c r="R249" s="217" t="str">
        <f ca="1">IF(ISERROR($V249),"",OFFSET('Smelter Look-up'!$C$4,$V249-4,0)&amp;"")</f>
        <v>PT Timah Tbk Mentok</v>
      </c>
      <c r="S249" s="225" t="str">
        <f t="shared" ca="1" si="33"/>
        <v>ID</v>
      </c>
      <c r="T249" s="225" t="str">
        <f ca="1">IF(B249="","",IF(ISERROR(MATCH($J249,SorP!$B$1:$B$6230,0)),"",INDIRECT("'SorP'!$A$"&amp;MATCH($J249,SorP!$B$1:$B$6230,0))))</f>
        <v>ID-BB</v>
      </c>
      <c r="U249" s="241"/>
      <c r="V249" s="275">
        <f>IF(C249="",NA(),MATCH($B249&amp;$C249,'Smelter Look-up'!$J:$J,0))</f>
        <v>446</v>
      </c>
      <c r="W249" s="276"/>
      <c r="X249" s="276">
        <f t="shared" ca="1" si="34"/>
        <v>0</v>
      </c>
      <c r="Y249" s="276"/>
      <c r="Z249" s="276"/>
      <c r="AB249" s="278" t="str">
        <f t="shared" si="35"/>
        <v>TinPT Timah Tbk Mentok</v>
      </c>
    </row>
    <row r="250" spans="1:28" s="277" customFormat="1" ht="27.95" customHeight="1">
      <c r="A250" s="216"/>
      <c r="B250" s="217" t="s">
        <v>1154</v>
      </c>
      <c r="C250" s="221" t="s">
        <v>2329</v>
      </c>
      <c r="D250" s="283"/>
      <c r="E250" s="217" t="str">
        <f ca="1">IF(ISERROR($V250),"",OFFSET('Smelter Look-up'!$D$4,$V250-4,0)&amp;"")</f>
        <v>BRAZIL</v>
      </c>
      <c r="F250" s="217" t="str">
        <f ca="1">IF(ISERROR($V250),"",OFFSET('Smelter Look-up'!$E$4,$V250-4,0))</f>
        <v>CID002706</v>
      </c>
      <c r="G250" s="217" t="str">
        <f ca="1">IF(C250=$X$4,"Enter smelter details",IF(ISERROR($V250),"",OFFSET('Smelter Look-up'!$F$4,$V250-4,0)))</f>
        <v>RMI</v>
      </c>
      <c r="H250" s="218">
        <f ca="1">IF(ISERROR($V250),"",OFFSET('Smelter Look-up'!$G$4,$V250-4,0))</f>
        <v>0</v>
      </c>
      <c r="I250" s="219" t="str">
        <f ca="1">IF(ISERROR($V250),"",OFFSET('Smelter Look-up'!$H$4,$V250-4,0))</f>
        <v>São João del Rei</v>
      </c>
      <c r="J250" s="219" t="str">
        <f ca="1">IF(ISERROR($V250),"",OFFSET('Smelter Look-up'!$I$4,$V250-4,0))</f>
        <v>Minas gerais</v>
      </c>
      <c r="K250" s="273"/>
      <c r="L250" s="273"/>
      <c r="M250" s="273"/>
      <c r="N250" s="273"/>
      <c r="O250" s="273"/>
      <c r="P250" s="220"/>
      <c r="Q250" s="274"/>
      <c r="R250" s="217" t="str">
        <f ca="1">IF(ISERROR($V250),"",OFFSET('Smelter Look-up'!$C$4,$V250-4,0)&amp;"")</f>
        <v>Resind Industria e Comercio Ltda.</v>
      </c>
      <c r="S250" s="225" t="str">
        <f t="shared" ca="1" si="33"/>
        <v>BR</v>
      </c>
      <c r="T250" s="225" t="str">
        <f ca="1">IF(B250="","",IF(ISERROR(MATCH($J250,SorP!$B$1:$B$6230,0)),"",INDIRECT("'SorP'!$A$"&amp;MATCH($J250,SorP!$B$1:$B$6230,0))))</f>
        <v>BR-MG</v>
      </c>
      <c r="U250" s="241"/>
      <c r="V250" s="275">
        <f>IF(C250="",NA(),MATCH($B250&amp;$C250,'Smelter Look-up'!$J:$J,0))</f>
        <v>449</v>
      </c>
      <c r="W250" s="276"/>
      <c r="X250" s="276">
        <f t="shared" ca="1" si="34"/>
        <v>0</v>
      </c>
      <c r="Y250" s="276"/>
      <c r="Z250" s="276"/>
      <c r="AB250" s="278" t="str">
        <f t="shared" si="35"/>
        <v>TinResind Indústria e Comércio Ltda.</v>
      </c>
    </row>
    <row r="251" spans="1:28" s="277" customFormat="1" ht="27.95" customHeight="1">
      <c r="A251" s="216"/>
      <c r="B251" s="217" t="s">
        <v>1154</v>
      </c>
      <c r="C251" s="221" t="s">
        <v>803</v>
      </c>
      <c r="D251" s="283"/>
      <c r="E251" s="217" t="str">
        <f ca="1">IF(ISERROR($V251),"",OFFSET('Smelter Look-up'!$D$4,$V251-4,0)&amp;"")</f>
        <v>TAIWAN, PROVINCE OF CHINA</v>
      </c>
      <c r="F251" s="217" t="str">
        <f ca="1">IF(ISERROR($V251),"",OFFSET('Smelter Look-up'!$E$4,$V251-4,0))</f>
        <v>CID001539</v>
      </c>
      <c r="G251" s="217" t="str">
        <f ca="1">IF(C251=$X$4,"Enter smelter details",IF(ISERROR($V251),"",OFFSET('Smelter Look-up'!$F$4,$V251-4,0)))</f>
        <v>RMI</v>
      </c>
      <c r="H251" s="218">
        <f ca="1">IF(ISERROR($V251),"",OFFSET('Smelter Look-up'!$G$4,$V251-4,0))</f>
        <v>0</v>
      </c>
      <c r="I251" s="219" t="str">
        <f ca="1">IF(ISERROR($V251),"",OFFSET('Smelter Look-up'!$H$4,$V251-4,0))</f>
        <v>Longtan Shiang Taoyuan</v>
      </c>
      <c r="J251" s="219" t="str">
        <f ca="1">IF(ISERROR($V251),"",OFFSET('Smelter Look-up'!$I$4,$V251-4,0))</f>
        <v>Taoyuan</v>
      </c>
      <c r="K251" s="273"/>
      <c r="L251" s="273"/>
      <c r="M251" s="273"/>
      <c r="N251" s="273"/>
      <c r="O251" s="273"/>
      <c r="P251" s="220"/>
      <c r="Q251" s="274"/>
      <c r="R251" s="217" t="str">
        <f ca="1">IF(ISERROR($V251),"",OFFSET('Smelter Look-up'!$C$4,$V251-4,0)&amp;"")</f>
        <v>Rui Da Hung</v>
      </c>
      <c r="S251" s="225" t="str">
        <f t="shared" ca="1" si="33"/>
        <v>TW</v>
      </c>
      <c r="T251" s="225" t="str">
        <f ca="1">IF(B251="","",IF(ISERROR(MATCH($J251,SorP!$B$1:$B$6230,0)),"",INDIRECT("'SorP'!$A$"&amp;MATCH($J251,SorP!$B$1:$B$6230,0))))</f>
        <v>TW-TAO</v>
      </c>
      <c r="U251" s="241"/>
      <c r="V251" s="275">
        <f>IF(C251="",NA(),MATCH($B251&amp;$C251,'Smelter Look-up'!$J:$J,0))</f>
        <v>450</v>
      </c>
      <c r="W251" s="276"/>
      <c r="X251" s="276">
        <f t="shared" ca="1" si="34"/>
        <v>0</v>
      </c>
      <c r="Y251" s="276"/>
      <c r="Z251" s="276"/>
      <c r="AB251" s="278" t="str">
        <f t="shared" si="35"/>
        <v>TinRui Da Hung</v>
      </c>
    </row>
    <row r="252" spans="1:28" s="277" customFormat="1" ht="27.95" customHeight="1">
      <c r="A252" s="216"/>
      <c r="B252" s="217" t="s">
        <v>1154</v>
      </c>
      <c r="C252" s="221" t="s">
        <v>2267</v>
      </c>
      <c r="D252" s="283"/>
      <c r="E252" s="217" t="str">
        <f ca="1">IF(ISERROR($V252),"",OFFSET('Smelter Look-up'!$D$4,$V252-4,0)&amp;"")</f>
        <v>BRAZIL</v>
      </c>
      <c r="F252" s="217" t="str">
        <f ca="1">IF(ISERROR($V252),"",OFFSET('Smelter Look-up'!$E$4,$V252-4,0))</f>
        <v>CID001758</v>
      </c>
      <c r="G252" s="217" t="str">
        <f ca="1">IF(C252=$X$4,"Enter smelter details",IF(ISERROR($V252),"",OFFSET('Smelter Look-up'!$F$4,$V252-4,0)))</f>
        <v>RMI</v>
      </c>
      <c r="H252" s="218">
        <f ca="1">IF(ISERROR($V252),"",OFFSET('Smelter Look-up'!$G$4,$V252-4,0))</f>
        <v>0</v>
      </c>
      <c r="I252" s="219" t="str">
        <f ca="1">IF(ISERROR($V252),"",OFFSET('Smelter Look-up'!$H$4,$V252-4,0))</f>
        <v>Bebedouro</v>
      </c>
      <c r="J252" s="219" t="str">
        <f ca="1">IF(ISERROR($V252),"",OFFSET('Smelter Look-up'!$I$4,$V252-4,0))</f>
        <v>São Paulo</v>
      </c>
      <c r="K252" s="273"/>
      <c r="L252" s="273"/>
      <c r="M252" s="273"/>
      <c r="N252" s="273"/>
      <c r="O252" s="273"/>
      <c r="P252" s="220"/>
      <c r="Q252" s="274"/>
      <c r="R252" s="217" t="str">
        <f ca="1">IF(ISERROR($V252),"",OFFSET('Smelter Look-up'!$C$4,$V252-4,0)&amp;"")</f>
        <v>Soft Metais Ltda.</v>
      </c>
      <c r="S252" s="225" t="str">
        <f t="shared" ca="1" si="33"/>
        <v>BR</v>
      </c>
      <c r="T252" s="225" t="str">
        <f ca="1">IF(B252="","",IF(ISERROR(MATCH($J252,SorP!$B$1:$B$6230,0)),"",INDIRECT("'SorP'!$A$"&amp;MATCH($J252,SorP!$B$1:$B$6230,0))))</f>
        <v>BR-SP</v>
      </c>
      <c r="U252" s="241"/>
      <c r="V252" s="275">
        <f>IF(C252="",NA(),MATCH($B252&amp;$C252,'Smelter Look-up'!$J:$J,0))</f>
        <v>453</v>
      </c>
      <c r="W252" s="276"/>
      <c r="X252" s="276">
        <f t="shared" ca="1" si="34"/>
        <v>0</v>
      </c>
      <c r="Y252" s="276"/>
      <c r="Z252" s="276"/>
      <c r="AB252" s="278" t="str">
        <f t="shared" si="35"/>
        <v>TinSoft Metais Ltda.</v>
      </c>
    </row>
    <row r="253" spans="1:28" s="277" customFormat="1" ht="27.95" customHeight="1">
      <c r="A253" s="216"/>
      <c r="B253" s="217" t="s">
        <v>1154</v>
      </c>
      <c r="C253" s="221" t="s">
        <v>2679</v>
      </c>
      <c r="D253" s="283"/>
      <c r="E253" s="217" t="str">
        <f ca="1">IF(ISERROR($V253),"",OFFSET('Smelter Look-up'!$D$4,$V253-4,0)&amp;"")</f>
        <v>BRAZIL</v>
      </c>
      <c r="F253" s="217" t="str">
        <f ca="1">IF(ISERROR($V253),"",OFFSET('Smelter Look-up'!$E$4,$V253-4,0))</f>
        <v>CID002756</v>
      </c>
      <c r="G253" s="217" t="str">
        <f ca="1">IF(C253=$X$4,"Enter smelter details",IF(ISERROR($V253),"",OFFSET('Smelter Look-up'!$F$4,$V253-4,0)))</f>
        <v>RMI</v>
      </c>
      <c r="H253" s="218">
        <f ca="1">IF(ISERROR($V253),"",OFFSET('Smelter Look-up'!$G$4,$V253-4,0))</f>
        <v>0</v>
      </c>
      <c r="I253" s="219" t="str">
        <f ca="1">IF(ISERROR($V253),"",OFFSET('Smelter Look-up'!$H$4,$V253-4,0))</f>
        <v>Piracicaba</v>
      </c>
      <c r="J253" s="219" t="str">
        <f ca="1">IF(ISERROR($V253),"",OFFSET('Smelter Look-up'!$I$4,$V253-4,0))</f>
        <v>São Paulo</v>
      </c>
      <c r="K253" s="273"/>
      <c r="L253" s="273"/>
      <c r="M253" s="273"/>
      <c r="N253" s="273"/>
      <c r="O253" s="273"/>
      <c r="P253" s="220"/>
      <c r="Q253" s="274"/>
      <c r="R253" s="217" t="str">
        <f ca="1">IF(ISERROR($V253),"",OFFSET('Smelter Look-up'!$C$4,$V253-4,0)&amp;"")</f>
        <v>Super Ligas</v>
      </c>
      <c r="S253" s="225" t="str">
        <f t="shared" ca="1" si="33"/>
        <v>BR</v>
      </c>
      <c r="T253" s="225" t="str">
        <f ca="1">IF(B253="","",IF(ISERROR(MATCH($J253,SorP!$B$1:$B$6230,0)),"",INDIRECT("'SorP'!$A$"&amp;MATCH($J253,SorP!$B$1:$B$6230,0))))</f>
        <v>BR-SP</v>
      </c>
      <c r="U253" s="241"/>
      <c r="V253" s="275">
        <f>IF(C253="",NA(),MATCH($B253&amp;$C253,'Smelter Look-up'!$J:$J,0))</f>
        <v>454</v>
      </c>
      <c r="W253" s="276"/>
      <c r="X253" s="276">
        <f t="shared" ca="1" si="34"/>
        <v>0</v>
      </c>
      <c r="Y253" s="276"/>
      <c r="Z253" s="276"/>
      <c r="AB253" s="278" t="str">
        <f t="shared" si="35"/>
        <v>TinSuper Ligas</v>
      </c>
    </row>
    <row r="254" spans="1:28" s="277" customFormat="1" ht="27.95" customHeight="1">
      <c r="A254" s="216"/>
      <c r="B254" s="217" t="s">
        <v>1154</v>
      </c>
      <c r="C254" s="221" t="s">
        <v>14159</v>
      </c>
      <c r="D254" s="283"/>
      <c r="E254" s="217" t="str">
        <f ca="1">IF(ISERROR($V254),"",OFFSET('Smelter Look-up'!$D$4,$V254-4,0)&amp;"")</f>
        <v>VIET NAM</v>
      </c>
      <c r="F254" s="217" t="str">
        <f ca="1">IF(ISERROR($V254),"",OFFSET('Smelter Look-up'!$E$4,$V254-4,0))</f>
        <v>CID002834</v>
      </c>
      <c r="G254" s="217" t="str">
        <f ca="1">IF(C254=$X$4,"Enter smelter details",IF(ISERROR($V254),"",OFFSET('Smelter Look-up'!$F$4,$V254-4,0)))</f>
        <v>RMI</v>
      </c>
      <c r="H254" s="218">
        <f ca="1">IF(ISERROR($V254),"",OFFSET('Smelter Look-up'!$G$4,$V254-4,0))</f>
        <v>0</v>
      </c>
      <c r="I254" s="219" t="str">
        <f ca="1">IF(ISERROR($V254),"",OFFSET('Smelter Look-up'!$H$4,$V254-4,0))</f>
        <v>Thai Nguyen</v>
      </c>
      <c r="J254" s="219" t="str">
        <f ca="1">IF(ISERROR($V254),"",OFFSET('Smelter Look-up'!$I$4,$V254-4,0))</f>
        <v>Thái Nguyên</v>
      </c>
      <c r="K254" s="273"/>
      <c r="L254" s="273"/>
      <c r="M254" s="273"/>
      <c r="N254" s="273"/>
      <c r="O254" s="273"/>
      <c r="P254" s="220"/>
      <c r="Q254" s="274"/>
      <c r="R254" s="217" t="str">
        <f ca="1">IF(ISERROR($V254),"",OFFSET('Smelter Look-up'!$C$4,$V254-4,0)&amp;"")</f>
        <v>Thai Nguyen Mining and Metallurgy Co., Ltd.</v>
      </c>
      <c r="S254" s="225" t="str">
        <f t="shared" ca="1" si="33"/>
        <v>VN</v>
      </c>
      <c r="T254" s="225" t="str">
        <f ca="1">IF(B254="","",IF(ISERROR(MATCH($J254,SorP!$B$1:$B$6230,0)),"",INDIRECT("'SorP'!$A$"&amp;MATCH($J254,SorP!$B$1:$B$6230,0))))</f>
        <v>VN-69</v>
      </c>
      <c r="U254" s="241"/>
      <c r="V254" s="275">
        <f>IF(C254="",NA(),MATCH($B254&amp;$C254,'Smelter Look-up'!$J:$J,0))</f>
        <v>455</v>
      </c>
      <c r="W254" s="276"/>
      <c r="X254" s="276">
        <f t="shared" ca="1" si="34"/>
        <v>0</v>
      </c>
      <c r="Y254" s="276"/>
      <c r="Z254" s="276"/>
      <c r="AB254" s="278" t="str">
        <f t="shared" si="35"/>
        <v>TinThai Nguyen Mining and Metallurgy Co., Ltd.</v>
      </c>
    </row>
    <row r="255" spans="1:28" s="277" customFormat="1" ht="27.95" customHeight="1">
      <c r="A255" s="216"/>
      <c r="B255" s="217" t="s">
        <v>1154</v>
      </c>
      <c r="C255" s="221" t="s">
        <v>1054</v>
      </c>
      <c r="D255" s="283"/>
      <c r="E255" s="217" t="str">
        <f ca="1">IF(ISERROR($V255),"",OFFSET('Smelter Look-up'!$D$4,$V255-4,0)&amp;"")</f>
        <v>THAILAND</v>
      </c>
      <c r="F255" s="217" t="str">
        <f ca="1">IF(ISERROR($V255),"",OFFSET('Smelter Look-up'!$E$4,$V255-4,0))</f>
        <v>CID001898</v>
      </c>
      <c r="G255" s="217" t="str">
        <f ca="1">IF(C255=$X$4,"Enter smelter details",IF(ISERROR($V255),"",OFFSET('Smelter Look-up'!$F$4,$V255-4,0)))</f>
        <v>RMI</v>
      </c>
      <c r="H255" s="218">
        <f ca="1">IF(ISERROR($V255),"",OFFSET('Smelter Look-up'!$G$4,$V255-4,0))</f>
        <v>0</v>
      </c>
      <c r="I255" s="219" t="str">
        <f ca="1">IF(ISERROR($V255),"",OFFSET('Smelter Look-up'!$H$4,$V255-4,0))</f>
        <v>Amphur Muang</v>
      </c>
      <c r="J255" s="219" t="str">
        <f ca="1">IF(ISERROR($V255),"",OFFSET('Smelter Look-up'!$I$4,$V255-4,0))</f>
        <v>Phuket</v>
      </c>
      <c r="K255" s="273"/>
      <c r="L255" s="273"/>
      <c r="M255" s="273"/>
      <c r="N255" s="273"/>
      <c r="O255" s="273"/>
      <c r="P255" s="220"/>
      <c r="Q255" s="274"/>
      <c r="R255" s="217" t="str">
        <f ca="1">IF(ISERROR($V255),"",OFFSET('Smelter Look-up'!$C$4,$V255-4,0)&amp;"")</f>
        <v>Thaisarco</v>
      </c>
      <c r="S255" s="225" t="str">
        <f t="shared" ca="1" si="33"/>
        <v>TH</v>
      </c>
      <c r="T255" s="225" t="str">
        <f ca="1">IF(B255="","",IF(ISERROR(MATCH($J255,SorP!$B$1:$B$6230,0)),"",INDIRECT("'SorP'!$A$"&amp;MATCH($J255,SorP!$B$1:$B$6230,0))))</f>
        <v>TH-83</v>
      </c>
      <c r="U255" s="241"/>
      <c r="V255" s="275">
        <f>IF(C255="",NA(),MATCH($B255&amp;$C255,'Smelter Look-up'!$J:$J,0))</f>
        <v>458</v>
      </c>
      <c r="W255" s="276"/>
      <c r="X255" s="276">
        <f t="shared" ca="1" si="34"/>
        <v>0</v>
      </c>
      <c r="Y255" s="276"/>
      <c r="Z255" s="276"/>
      <c r="AB255" s="278" t="str">
        <f t="shared" si="35"/>
        <v>TinThaisarco</v>
      </c>
    </row>
    <row r="256" spans="1:28" s="277" customFormat="1" ht="27.95" customHeight="1">
      <c r="A256" s="216"/>
      <c r="B256" s="217" t="s">
        <v>1154</v>
      </c>
      <c r="C256" s="221" t="s">
        <v>13520</v>
      </c>
      <c r="D256" s="283"/>
      <c r="E256" s="217" t="str">
        <f ca="1">IF(ISERROR($V256),"",OFFSET('Smelter Look-up'!$D$4,$V256-4,0)&amp;"")</f>
        <v>UNITED STATES OF AMERICA</v>
      </c>
      <c r="F256" s="217" t="str">
        <f ca="1">IF(ISERROR($V256),"",OFFSET('Smelter Look-up'!$E$4,$V256-4,0))</f>
        <v>CID003325</v>
      </c>
      <c r="G256" s="217" t="str">
        <f ca="1">IF(C256=$X$4,"Enter smelter details",IF(ISERROR($V256),"",OFFSET('Smelter Look-up'!$F$4,$V256-4,0)))</f>
        <v>RMI</v>
      </c>
      <c r="H256" s="218">
        <f ca="1">IF(ISERROR($V256),"",OFFSET('Smelter Look-up'!$G$4,$V256-4,0))</f>
        <v>0</v>
      </c>
      <c r="I256" s="219" t="str">
        <f ca="1">IF(ISERROR($V256),"",OFFSET('Smelter Look-up'!$H$4,$V256-4,0))</f>
        <v>West Chester</v>
      </c>
      <c r="J256" s="219" t="str">
        <f ca="1">IF(ISERROR($V256),"",OFFSET('Smelter Look-up'!$I$4,$V256-4,0))</f>
        <v>Pennsylvania</v>
      </c>
      <c r="K256" s="273"/>
      <c r="L256" s="273"/>
      <c r="M256" s="273"/>
      <c r="N256" s="273"/>
      <c r="O256" s="273"/>
      <c r="P256" s="220"/>
      <c r="Q256" s="274"/>
      <c r="R256" s="217" t="str">
        <f ca="1">IF(ISERROR($V256),"",OFFSET('Smelter Look-up'!$C$4,$V256-4,0)&amp;"")</f>
        <v>Tin Technology &amp; Refining</v>
      </c>
      <c r="S256" s="225" t="str">
        <f t="shared" ca="1" si="33"/>
        <v>US</v>
      </c>
      <c r="T256" s="225" t="str">
        <f ca="1">IF(B256="","",IF(ISERROR(MATCH($J256,SorP!$B$1:$B$6230,0)),"",INDIRECT("'SorP'!$A$"&amp;MATCH($J256,SorP!$B$1:$B$6230,0))))</f>
        <v>US-PA</v>
      </c>
      <c r="U256" s="241"/>
      <c r="V256" s="275">
        <f>IF(C256="",NA(),MATCH($B256&amp;$C256,'Smelter Look-up'!$J:$J,0))</f>
        <v>461</v>
      </c>
      <c r="W256" s="276"/>
      <c r="X256" s="276">
        <f t="shared" ca="1" si="34"/>
        <v>0</v>
      </c>
      <c r="Y256" s="276"/>
      <c r="Z256" s="276"/>
      <c r="AB256" s="278" t="str">
        <f t="shared" si="35"/>
        <v>TinTin Technology &amp; Refining</v>
      </c>
    </row>
    <row r="257" spans="1:28" s="277" customFormat="1" ht="27.95" customHeight="1">
      <c r="A257" s="216"/>
      <c r="B257" s="217" t="s">
        <v>1154</v>
      </c>
      <c r="C257" s="221" t="s">
        <v>1852</v>
      </c>
      <c r="D257" s="283"/>
      <c r="E257" s="217" t="str">
        <f ca="1">IF(ISERROR($V257),"",OFFSET('Smelter Look-up'!$D$4,$V257-4,0)&amp;"")</f>
        <v>VIET NAM</v>
      </c>
      <c r="F257" s="217" t="str">
        <f ca="1">IF(ISERROR($V257),"",OFFSET('Smelter Look-up'!$E$4,$V257-4,0))</f>
        <v>CID002574</v>
      </c>
      <c r="G257" s="217" t="str">
        <f ca="1">IF(C257=$X$4,"Enter smelter details",IF(ISERROR($V257),"",OFFSET('Smelter Look-up'!$F$4,$V257-4,0)))</f>
        <v>RMI</v>
      </c>
      <c r="H257" s="218">
        <f ca="1">IF(ISERROR($V257),"",OFFSET('Smelter Look-up'!$G$4,$V257-4,0))</f>
        <v>0</v>
      </c>
      <c r="I257" s="219" t="str">
        <f ca="1">IF(ISERROR($V257),"",OFFSET('Smelter Look-up'!$H$4,$V257-4,0))</f>
        <v>Tan Quang</v>
      </c>
      <c r="J257" s="219" t="str">
        <f ca="1">IF(ISERROR($V257),"",OFFSET('Smelter Look-up'!$I$4,$V257-4,0))</f>
        <v>Tuyên Quang</v>
      </c>
      <c r="K257" s="273"/>
      <c r="L257" s="273"/>
      <c r="M257" s="273"/>
      <c r="N257" s="273"/>
      <c r="O257" s="273"/>
      <c r="P257" s="220"/>
      <c r="Q257" s="274"/>
      <c r="R257" s="217" t="str">
        <f ca="1">IF(ISERROR($V257),"",OFFSET('Smelter Look-up'!$C$4,$V257-4,0)&amp;"")</f>
        <v>Tuyen Quang Non-Ferrous Metals Joint Stock Company</v>
      </c>
      <c r="S257" s="225" t="str">
        <f t="shared" ca="1" si="33"/>
        <v>VN</v>
      </c>
      <c r="T257" s="225" t="str">
        <f ca="1">IF(B257="","",IF(ISERROR(MATCH($J257,SorP!$B$1:$B$6230,0)),"",INDIRECT("'SorP'!$A$"&amp;MATCH($J257,SorP!$B$1:$B$6230,0))))</f>
        <v>VN-07</v>
      </c>
      <c r="U257" s="241"/>
      <c r="V257" s="275">
        <f>IF(C257="",NA(),MATCH($B257&amp;$C257,'Smelter Look-up'!$J:$J,0))</f>
        <v>463</v>
      </c>
      <c r="W257" s="276"/>
      <c r="X257" s="276">
        <f t="shared" ca="1" si="34"/>
        <v>0</v>
      </c>
      <c r="Y257" s="276"/>
      <c r="Z257" s="276"/>
      <c r="AB257" s="278" t="str">
        <f t="shared" si="35"/>
        <v>TinTuyen Quang Non-Ferrous Metals Joint Stock Company</v>
      </c>
    </row>
    <row r="258" spans="1:28" s="277" customFormat="1" ht="27.95" customHeight="1">
      <c r="A258" s="216"/>
      <c r="B258" s="217" t="s">
        <v>1154</v>
      </c>
      <c r="C258" s="221" t="s">
        <v>52</v>
      </c>
      <c r="D258" s="283"/>
      <c r="E258" s="217" t="str">
        <f ca="1">IF(ISERROR($V258),"",OFFSET('Smelter Look-up'!$D$4,$V258-4,0)&amp;"")</f>
        <v>BRAZIL</v>
      </c>
      <c r="F258" s="217" t="str">
        <f ca="1">IF(ISERROR($V258),"",OFFSET('Smelter Look-up'!$E$4,$V258-4,0))</f>
        <v>CID002036</v>
      </c>
      <c r="G258" s="217" t="str">
        <f ca="1">IF(C258=$X$4,"Enter smelter details",IF(ISERROR($V258),"",OFFSET('Smelter Look-up'!$F$4,$V258-4,0)))</f>
        <v>RMI</v>
      </c>
      <c r="H258" s="218">
        <f ca="1">IF(ISERROR($V258),"",OFFSET('Smelter Look-up'!$G$4,$V258-4,0))</f>
        <v>0</v>
      </c>
      <c r="I258" s="219" t="str">
        <f ca="1">IF(ISERROR($V258),"",OFFSET('Smelter Look-up'!$H$4,$V258-4,0))</f>
        <v>Ariquemes</v>
      </c>
      <c r="J258" s="219" t="str">
        <f ca="1">IF(ISERROR($V258),"",OFFSET('Smelter Look-up'!$I$4,$V258-4,0))</f>
        <v>Rondônia</v>
      </c>
      <c r="K258" s="273"/>
      <c r="L258" s="273"/>
      <c r="M258" s="273"/>
      <c r="N258" s="273"/>
      <c r="O258" s="273"/>
      <c r="P258" s="220"/>
      <c r="Q258" s="274"/>
      <c r="R258" s="217" t="str">
        <f ca="1">IF(ISERROR($V258),"",OFFSET('Smelter Look-up'!$C$4,$V258-4,0)&amp;"")</f>
        <v>White Solder Metalurgia e Mineracao Ltda.</v>
      </c>
      <c r="S258" s="225" t="str">
        <f t="shared" ca="1" si="33"/>
        <v>BR</v>
      </c>
      <c r="T258" s="225" t="str">
        <f ca="1">IF(B258="","",IF(ISERROR(MATCH($J258,SorP!$B$1:$B$6230,0)),"",INDIRECT("'SorP'!$A$"&amp;MATCH($J258,SorP!$B$1:$B$6230,0))))</f>
        <v>BR-RO</v>
      </c>
      <c r="U258" s="241"/>
      <c r="V258" s="275">
        <f>IF(C258="",NA(),MATCH($B258&amp;$C258,'Smelter Look-up'!$J:$J,0))</f>
        <v>466</v>
      </c>
      <c r="W258" s="276"/>
      <c r="X258" s="276">
        <f t="shared" ca="1" si="34"/>
        <v>0</v>
      </c>
      <c r="Y258" s="276"/>
      <c r="Z258" s="276"/>
      <c r="AB258" s="278" t="str">
        <f t="shared" si="35"/>
        <v>TinWhite Solder Metalurgia e Mineração Ltda.</v>
      </c>
    </row>
    <row r="259" spans="1:28" s="277" customFormat="1" ht="27.95" customHeight="1">
      <c r="A259" s="216"/>
      <c r="B259" s="217" t="s">
        <v>1154</v>
      </c>
      <c r="C259" s="221" t="s">
        <v>2273</v>
      </c>
      <c r="D259" s="283"/>
      <c r="E259" s="217" t="str">
        <f ca="1">IF(ISERROR($V259),"",OFFSET('Smelter Look-up'!$D$4,$V259-4,0)&amp;"")</f>
        <v>CHINA</v>
      </c>
      <c r="F259" s="217" t="str">
        <f ca="1">IF(ISERROR($V259),"",OFFSET('Smelter Look-up'!$E$4,$V259-4,0))</f>
        <v>CID002158</v>
      </c>
      <c r="G259" s="217" t="str">
        <f ca="1">IF(C259=$X$4,"Enter smelter details",IF(ISERROR($V259),"",OFFSET('Smelter Look-up'!$F$4,$V259-4,0)))</f>
        <v>RMI</v>
      </c>
      <c r="H259" s="218">
        <f ca="1">IF(ISERROR($V259),"",OFFSET('Smelter Look-up'!$G$4,$V259-4,0))</f>
        <v>0</v>
      </c>
      <c r="I259" s="219" t="str">
        <f ca="1">IF(ISERROR($V259),"",OFFSET('Smelter Look-up'!$H$4,$V259-4,0))</f>
        <v>Gejiu</v>
      </c>
      <c r="J259" s="219" t="str">
        <f ca="1">IF(ISERROR($V259),"",OFFSET('Smelter Look-up'!$I$4,$V259-4,0))</f>
        <v>Yunnan Sheng</v>
      </c>
      <c r="K259" s="273"/>
      <c r="L259" s="273"/>
      <c r="M259" s="273"/>
      <c r="N259" s="273"/>
      <c r="O259" s="273"/>
      <c r="P259" s="220"/>
      <c r="Q259" s="274"/>
      <c r="R259" s="217" t="str">
        <f ca="1">IF(ISERROR($V259),"",OFFSET('Smelter Look-up'!$C$4,$V259-4,0)&amp;"")</f>
        <v>Yunnan Chengfeng Non-ferrous Metals Co., Ltd.</v>
      </c>
      <c r="S259" s="225" t="str">
        <f t="shared" ca="1" si="33"/>
        <v>CN</v>
      </c>
      <c r="T259" s="225" t="str">
        <f ca="1">IF(B259="","",IF(ISERROR(MATCH($J259,SorP!$B$1:$B$6230,0)),"",INDIRECT("'SorP'!$A$"&amp;MATCH($J259,SorP!$B$1:$B$6230,0))))</f>
        <v>CN-YN</v>
      </c>
      <c r="U259" s="241"/>
      <c r="V259" s="275">
        <f>IF(C259="",NA(),MATCH($B259&amp;$C259,'Smelter Look-up'!$J:$J,0))</f>
        <v>473</v>
      </c>
      <c r="W259" s="276"/>
      <c r="X259" s="276">
        <f t="shared" ca="1" si="34"/>
        <v>0</v>
      </c>
      <c r="Y259" s="276"/>
      <c r="Z259" s="276"/>
      <c r="AB259" s="278" t="str">
        <f t="shared" si="35"/>
        <v>TinYunnan Chengfeng Non-ferrous Metals Co., Ltd.</v>
      </c>
    </row>
    <row r="260" spans="1:28" s="277" customFormat="1" ht="27.95" customHeight="1">
      <c r="A260" s="216"/>
      <c r="B260" s="217" t="s">
        <v>1154</v>
      </c>
      <c r="C260" s="221" t="s">
        <v>2471</v>
      </c>
      <c r="D260" s="283"/>
      <c r="E260" s="217" t="str">
        <f ca="1">IF(ISERROR($V260),"",OFFSET('Smelter Look-up'!$D$4,$V260-4,0)&amp;"")</f>
        <v>CHINA</v>
      </c>
      <c r="F260" s="217" t="str">
        <f ca="1">IF(ISERROR($V260),"",OFFSET('Smelter Look-up'!$E$4,$V260-4,0))</f>
        <v>CID002180</v>
      </c>
      <c r="G260" s="217" t="str">
        <f ca="1">IF(C260=$X$4,"Enter smelter details",IF(ISERROR($V260),"",OFFSET('Smelter Look-up'!$F$4,$V260-4,0)))</f>
        <v>RMI</v>
      </c>
      <c r="H260" s="218">
        <f ca="1">IF(ISERROR($V260),"",OFFSET('Smelter Look-up'!$G$4,$V260-4,0))</f>
        <v>0</v>
      </c>
      <c r="I260" s="219" t="str">
        <f ca="1">IF(ISERROR($V260),"",OFFSET('Smelter Look-up'!$H$4,$V260-4,0))</f>
        <v>Gejiu</v>
      </c>
      <c r="J260" s="219" t="str">
        <f ca="1">IF(ISERROR($V260),"",OFFSET('Smelter Look-up'!$I$4,$V260-4,0))</f>
        <v>Yunnan Sheng</v>
      </c>
      <c r="K260" s="273"/>
      <c r="L260" s="273"/>
      <c r="M260" s="273"/>
      <c r="N260" s="273"/>
      <c r="O260" s="273"/>
      <c r="P260" s="220"/>
      <c r="Q260" s="274"/>
      <c r="R260" s="217" t="str">
        <f ca="1">IF(ISERROR($V260),"",OFFSET('Smelter Look-up'!$C$4,$V260-4,0)&amp;"")</f>
        <v>Yunnan Tin Company Limited</v>
      </c>
      <c r="S260" s="225" t="str">
        <f t="shared" ca="1" si="33"/>
        <v>CN</v>
      </c>
      <c r="T260" s="225" t="str">
        <f ca="1">IF(B260="","",IF(ISERROR(MATCH($J260,SorP!$B$1:$B$6230,0)),"",INDIRECT("'SorP'!$A$"&amp;MATCH($J260,SorP!$B$1:$B$6230,0))))</f>
        <v>CN-YN</v>
      </c>
      <c r="U260" s="241"/>
      <c r="V260" s="275">
        <f>IF(C260="",NA(),MATCH($B260&amp;$C260,'Smelter Look-up'!$J:$J,0))</f>
        <v>477</v>
      </c>
      <c r="W260" s="276"/>
      <c r="X260" s="276">
        <f t="shared" ca="1" si="34"/>
        <v>0</v>
      </c>
      <c r="Y260" s="276"/>
      <c r="Z260" s="276"/>
      <c r="AB260" s="278" t="str">
        <f t="shared" si="35"/>
        <v>TinYunnan Tin Company Limited</v>
      </c>
    </row>
    <row r="261" spans="1:28" s="277" customFormat="1" ht="27.95" customHeight="1">
      <c r="A261" s="216"/>
      <c r="B261" s="217" t="s">
        <v>1154</v>
      </c>
      <c r="C261" s="221" t="s">
        <v>14161</v>
      </c>
      <c r="D261" s="283"/>
      <c r="E261" s="217" t="str">
        <f ca="1">IF(ISERROR($V261),"",OFFSET('Smelter Look-up'!$D$4,$V261-4,0)&amp;"")</f>
        <v>CHINA</v>
      </c>
      <c r="F261" s="217" t="str">
        <f ca="1">IF(ISERROR($V261),"",OFFSET('Smelter Look-up'!$E$4,$V261-4,0))</f>
        <v>CID003397</v>
      </c>
      <c r="G261" s="217" t="str">
        <f ca="1">IF(C261=$X$4,"Enter smelter details",IF(ISERROR($V261),"",OFFSET('Smelter Look-up'!$F$4,$V261-4,0)))</f>
        <v>RMI</v>
      </c>
      <c r="H261" s="218">
        <f ca="1">IF(ISERROR($V261),"",OFFSET('Smelter Look-up'!$G$4,$V261-4,0))</f>
        <v>0</v>
      </c>
      <c r="I261" s="219" t="str">
        <f ca="1">IF(ISERROR($V261),"",OFFSET('Smelter Look-up'!$H$4,$V261-4,0))</f>
        <v>Gejiu</v>
      </c>
      <c r="J261" s="219" t="str">
        <f ca="1">IF(ISERROR($V261),"",OFFSET('Smelter Look-up'!$I$4,$V261-4,0))</f>
        <v>Yunnan Sheng</v>
      </c>
      <c r="K261" s="273"/>
      <c r="L261" s="273"/>
      <c r="M261" s="273"/>
      <c r="N261" s="273"/>
      <c r="O261" s="273"/>
      <c r="P261" s="220"/>
      <c r="Q261" s="274"/>
      <c r="R261" s="217" t="str">
        <f ca="1">IF(ISERROR($V261),"",OFFSET('Smelter Look-up'!$C$4,$V261-4,0)&amp;"")</f>
        <v>Yunnan Yunfan Non-ferrous Metals Co., Ltd.</v>
      </c>
      <c r="S261" s="225" t="str">
        <f t="shared" ref="S261" ca="1" si="36">IF(B261="","",IF(ISERROR(MATCH($E261,CL,0)),"Unknown",INDIRECT("'C'!$A$"&amp;MATCH($E261,CL,0)+1)))</f>
        <v>CN</v>
      </c>
      <c r="T261" s="225" t="str">
        <f ca="1">IF(B261="","",IF(ISERROR(MATCH($J261,SorP!$B$1:$B$6230,0)),"",INDIRECT("'SorP'!$A$"&amp;MATCH($J261,SorP!$B$1:$B$6230,0))))</f>
        <v>CN-YN</v>
      </c>
      <c r="U261" s="241"/>
      <c r="V261" s="275">
        <f>IF(C261="",NA(),MATCH($B261&amp;$C261,'Smelter Look-up'!$J:$J,0))</f>
        <v>481</v>
      </c>
      <c r="W261" s="276"/>
      <c r="X261" s="276">
        <f t="shared" ref="X261" ca="1" si="37">IF(AND(C261="Smelter not listed",OR(LEN(D261)=0,LEN(E261)=0)),1,0)</f>
        <v>0</v>
      </c>
      <c r="Y261" s="276"/>
      <c r="Z261" s="276"/>
      <c r="AB261" s="278" t="str">
        <f t="shared" ref="AB261" si="38">B261&amp;C261</f>
        <v>TinYunnan Yunfan Non-ferrous Metals Co., Ltd.</v>
      </c>
    </row>
    <row r="262" spans="1:28" s="277" customFormat="1" ht="27.95" customHeight="1">
      <c r="A262" s="216"/>
      <c r="B262" s="217" t="s">
        <v>1156</v>
      </c>
      <c r="C262" s="221" t="s">
        <v>14163</v>
      </c>
      <c r="D262" s="283"/>
      <c r="E262" s="217" t="str">
        <f ca="1">IF(ISERROR($V262),"",OFFSET('Smelter Look-up'!$D$4,$V262-4,0)&amp;"")</f>
        <v>JAPAN</v>
      </c>
      <c r="F262" s="217" t="str">
        <f ca="1">IF(ISERROR($V262),"",OFFSET('Smelter Look-up'!$E$4,$V262-4,0))</f>
        <v>CID000004</v>
      </c>
      <c r="G262" s="217" t="str">
        <f ca="1">IF(C262=$X$4,"Enter smelter details",IF(ISERROR($V262),"",OFFSET('Smelter Look-up'!$F$4,$V262-4,0)))</f>
        <v>RMI</v>
      </c>
      <c r="H262" s="218">
        <f ca="1">IF(ISERROR($V262),"",OFFSET('Smelter Look-up'!$G$4,$V262-4,0))</f>
        <v>0</v>
      </c>
      <c r="I262" s="219" t="str">
        <f ca="1">IF(ISERROR($V262),"",OFFSET('Smelter Look-up'!$H$4,$V262-4,0))</f>
        <v>Toyama City</v>
      </c>
      <c r="J262" s="219" t="str">
        <f ca="1">IF(ISERROR($V262),"",OFFSET('Smelter Look-up'!$I$4,$V262-4,0))</f>
        <v>Toyama</v>
      </c>
      <c r="K262" s="273"/>
      <c r="L262" s="273"/>
      <c r="M262" s="273"/>
      <c r="N262" s="273"/>
      <c r="O262" s="273"/>
      <c r="P262" s="220"/>
      <c r="Q262" s="274"/>
      <c r="R262" s="217" t="str">
        <f ca="1">IF(ISERROR($V262),"",OFFSET('Smelter Look-up'!$C$4,$V262-4,0)&amp;"")</f>
        <v>A.L.M.T. Corp.</v>
      </c>
      <c r="S262" s="225" t="str">
        <f t="shared" ref="S262:S293" ca="1" si="39">IF(B262="","",IF(ISERROR(MATCH($E262,CL,0)),"Unknown",INDIRECT("'C'!$A$"&amp;MATCH($E262,CL,0)+1)))</f>
        <v>JP</v>
      </c>
      <c r="T262" s="225" t="str">
        <f ca="1">IF(B262="","",IF(ISERROR(MATCH($J262,SorP!$B$1:$B$6230,0)),"",INDIRECT("'SorP'!$A$"&amp;MATCH($J262,SorP!$B$1:$B$6230,0))))</f>
        <v>JP-16</v>
      </c>
      <c r="U262" s="241"/>
      <c r="V262" s="275">
        <f>IF(C262="",NA(),MATCH($B262&amp;$C262,'Smelter Look-up'!$J:$J,0))</f>
        <v>486</v>
      </c>
      <c r="W262" s="276"/>
      <c r="X262" s="276">
        <f t="shared" ref="X262:X293" ca="1" si="40">IF(AND(C262="Smelter not listed",OR(LEN(D262)=0,LEN(E262)=0)),1,0)</f>
        <v>0</v>
      </c>
      <c r="Y262" s="276"/>
      <c r="Z262" s="276"/>
      <c r="AB262" s="278" t="str">
        <f t="shared" ref="AB262:AB293" si="41">B262&amp;C262</f>
        <v>TungstenA.L.M.T. Corp.</v>
      </c>
    </row>
    <row r="263" spans="1:28" s="277" customFormat="1" ht="27.95" customHeight="1">
      <c r="A263" s="216"/>
      <c r="B263" s="217" t="s">
        <v>1156</v>
      </c>
      <c r="C263" s="221" t="s">
        <v>2381</v>
      </c>
      <c r="D263" s="283"/>
      <c r="E263" s="217" t="str">
        <f ca="1">IF(ISERROR($V263),"",OFFSET('Smelter Look-up'!$D$4,$V263-4,0)&amp;"")</f>
        <v>BRAZIL</v>
      </c>
      <c r="F263" s="217" t="str">
        <f ca="1">IF(ISERROR($V263),"",OFFSET('Smelter Look-up'!$E$4,$V263-4,0))</f>
        <v>CID002833</v>
      </c>
      <c r="G263" s="217" t="str">
        <f ca="1">IF(C263=$X$4,"Enter smelter details",IF(ISERROR($V263),"",OFFSET('Smelter Look-up'!$F$4,$V263-4,0)))</f>
        <v>RMI</v>
      </c>
      <c r="H263" s="218">
        <f ca="1">IF(ISERROR($V263),"",OFFSET('Smelter Look-up'!$G$4,$V263-4,0))</f>
        <v>0</v>
      </c>
      <c r="I263" s="219" t="str">
        <f ca="1">IF(ISERROR($V263),"",OFFSET('Smelter Look-up'!$H$4,$V263-4,0))</f>
        <v>Araçariguama</v>
      </c>
      <c r="J263" s="219" t="str">
        <f ca="1">IF(ISERROR($V263),"",OFFSET('Smelter Look-up'!$I$4,$V263-4,0))</f>
        <v>São Paulo</v>
      </c>
      <c r="K263" s="273"/>
      <c r="L263" s="273"/>
      <c r="M263" s="273"/>
      <c r="N263" s="273"/>
      <c r="O263" s="273"/>
      <c r="P263" s="220"/>
      <c r="Q263" s="274"/>
      <c r="R263" s="217" t="str">
        <f ca="1">IF(ISERROR($V263),"",OFFSET('Smelter Look-up'!$C$4,$V263-4,0)&amp;"")</f>
        <v>ACL Metais Eireli</v>
      </c>
      <c r="S263" s="225" t="str">
        <f t="shared" ca="1" si="39"/>
        <v>BR</v>
      </c>
      <c r="T263" s="225" t="str">
        <f ca="1">IF(B263="","",IF(ISERROR(MATCH($J263,SorP!$B$1:$B$6230,0)),"",INDIRECT("'SorP'!$A$"&amp;MATCH($J263,SorP!$B$1:$B$6230,0))))</f>
        <v>BR-SP</v>
      </c>
      <c r="U263" s="241"/>
      <c r="V263" s="275">
        <f>IF(C263="",NA(),MATCH($B263&amp;$C263,'Smelter Look-up'!$J:$J,0))</f>
        <v>488</v>
      </c>
      <c r="W263" s="276"/>
      <c r="X263" s="276">
        <f t="shared" ca="1" si="40"/>
        <v>0</v>
      </c>
      <c r="Y263" s="276"/>
      <c r="Z263" s="276"/>
      <c r="AB263" s="278" t="str">
        <f t="shared" si="41"/>
        <v>TungstenACL Metais Eireli</v>
      </c>
    </row>
    <row r="264" spans="1:28" s="277" customFormat="1" ht="27.95" customHeight="1">
      <c r="A264" s="216"/>
      <c r="B264" s="217" t="s">
        <v>1156</v>
      </c>
      <c r="C264" s="221" t="s">
        <v>14225</v>
      </c>
      <c r="D264" s="283"/>
      <c r="E264" s="217" t="str">
        <f ca="1">IF(ISERROR($V264),"",OFFSET('Smelter Look-up'!$D$4,$V264-4,0)&amp;"")</f>
        <v>BRAZIL</v>
      </c>
      <c r="F264" s="217" t="str">
        <f ca="1">IF(ISERROR($V264),"",OFFSET('Smelter Look-up'!$E$4,$V264-4,0))</f>
        <v>CID003427</v>
      </c>
      <c r="G264" s="217" t="str">
        <f ca="1">IF(C264=$X$4,"Enter smelter details",IF(ISERROR($V264),"",OFFSET('Smelter Look-up'!$F$4,$V264-4,0)))</f>
        <v>RMI</v>
      </c>
      <c r="H264" s="218">
        <f ca="1">IF(ISERROR($V264),"",OFFSET('Smelter Look-up'!$G$4,$V264-4,0))</f>
        <v>0</v>
      </c>
      <c r="I264" s="219" t="str">
        <f ca="1">IF(ISERROR($V264),"",OFFSET('Smelter Look-up'!$H$4,$V264-4,0))</f>
        <v>Sao Paulo</v>
      </c>
      <c r="J264" s="219" t="str">
        <f ca="1">IF(ISERROR($V264),"",OFFSET('Smelter Look-up'!$I$4,$V264-4,0))</f>
        <v>São Paulo</v>
      </c>
      <c r="K264" s="273"/>
      <c r="L264" s="273"/>
      <c r="M264" s="273"/>
      <c r="N264" s="273"/>
      <c r="O264" s="273"/>
      <c r="P264" s="220"/>
      <c r="Q264" s="274"/>
      <c r="R264" s="217" t="str">
        <f ca="1">IF(ISERROR($V264),"",OFFSET('Smelter Look-up'!$C$4,$V264-4,0)&amp;"")</f>
        <v>Albasteel Industria e Comercio de Ligas Para Fundicao Ltd.</v>
      </c>
      <c r="S264" s="225" t="str">
        <f t="shared" ca="1" si="39"/>
        <v>BR</v>
      </c>
      <c r="T264" s="225" t="str">
        <f ca="1">IF(B264="","",IF(ISERROR(MATCH($J264,SorP!$B$1:$B$6230,0)),"",INDIRECT("'SorP'!$A$"&amp;MATCH($J264,SorP!$B$1:$B$6230,0))))</f>
        <v>BR-SP</v>
      </c>
      <c r="U264" s="241"/>
      <c r="V264" s="275">
        <f>IF(C264="",NA(),MATCH($B264&amp;$C264,'Smelter Look-up'!$J:$J,0))</f>
        <v>489</v>
      </c>
      <c r="W264" s="276"/>
      <c r="X264" s="276">
        <f t="shared" ca="1" si="40"/>
        <v>0</v>
      </c>
      <c r="Y264" s="276"/>
      <c r="Z264" s="276"/>
      <c r="AB264" s="278" t="str">
        <f t="shared" si="41"/>
        <v>TungstenAlbasteel Industria e Comercio de Ligas Para Fundicao Ltd.</v>
      </c>
    </row>
    <row r="265" spans="1:28" s="277" customFormat="1" ht="27.95" customHeight="1">
      <c r="A265" s="216"/>
      <c r="B265" s="217" t="s">
        <v>1156</v>
      </c>
      <c r="C265" s="221" t="s">
        <v>14226</v>
      </c>
      <c r="D265" s="283"/>
      <c r="E265" s="217" t="str">
        <f ca="1">IF(ISERROR($V265),"",OFFSET('Smelter Look-up'!$D$4,$V265-4,0)&amp;"")</f>
        <v>VIET NAM</v>
      </c>
      <c r="F265" s="217" t="str">
        <f ca="1">IF(ISERROR($V265),"",OFFSET('Smelter Look-up'!$E$4,$V265-4,0))</f>
        <v>CID002502</v>
      </c>
      <c r="G265" s="217" t="str">
        <f ca="1">IF(C265=$X$4,"Enter smelter details",IF(ISERROR($V265),"",OFFSET('Smelter Look-up'!$F$4,$V265-4,0)))</f>
        <v>RMI</v>
      </c>
      <c r="H265" s="218">
        <f ca="1">IF(ISERROR($V265),"",OFFSET('Smelter Look-up'!$G$4,$V265-4,0))</f>
        <v>0</v>
      </c>
      <c r="I265" s="219" t="str">
        <f ca="1">IF(ISERROR($V265),"",OFFSET('Smelter Look-up'!$H$4,$V265-4,0))</f>
        <v>Vinh Bao District</v>
      </c>
      <c r="J265" s="219" t="str">
        <f ca="1">IF(ISERROR($V265),"",OFFSET('Smelter Look-up'!$I$4,$V265-4,0))</f>
        <v>Hai Phong</v>
      </c>
      <c r="K265" s="273"/>
      <c r="L265" s="273"/>
      <c r="M265" s="273"/>
      <c r="N265" s="273"/>
      <c r="O265" s="273"/>
      <c r="P265" s="220"/>
      <c r="Q265" s="274"/>
      <c r="R265" s="217" t="str">
        <f ca="1">IF(ISERROR($V265),"",OFFSET('Smelter Look-up'!$C$4,$V265-4,0)&amp;"")</f>
        <v>Asia Tungsten Products Vietnam Ltd.</v>
      </c>
      <c r="S265" s="225" t="str">
        <f t="shared" ca="1" si="39"/>
        <v>VN</v>
      </c>
      <c r="T265" s="225" t="str">
        <f ca="1">IF(B265="","",IF(ISERROR(MATCH($J265,SorP!$B$1:$B$6230,0)),"",INDIRECT("'SorP'!$A$"&amp;MATCH($J265,SorP!$B$1:$B$6230,0))))</f>
        <v>VN-HP</v>
      </c>
      <c r="U265" s="241"/>
      <c r="V265" s="275">
        <f>IF(C265="",NA(),MATCH($B265&amp;$C265,'Smelter Look-up'!$J:$J,0))</f>
        <v>493</v>
      </c>
      <c r="W265" s="276"/>
      <c r="X265" s="276">
        <f t="shared" ca="1" si="40"/>
        <v>0</v>
      </c>
      <c r="Y265" s="276"/>
      <c r="Z265" s="276"/>
      <c r="AB265" s="278" t="str">
        <f t="shared" si="41"/>
        <v>TungstenAsia Tungsten Products Vietnam Ltd.</v>
      </c>
    </row>
    <row r="266" spans="1:28" s="277" customFormat="1" ht="27.95" customHeight="1">
      <c r="A266" s="216"/>
      <c r="B266" s="217" t="s">
        <v>1156</v>
      </c>
      <c r="C266" s="221" t="s">
        <v>1428</v>
      </c>
      <c r="D266" s="283"/>
      <c r="E266" s="217" t="str">
        <f ca="1">IF(ISERROR($V266),"",OFFSET('Smelter Look-up'!$D$4,$V266-4,0)&amp;"")</f>
        <v>CHINA</v>
      </c>
      <c r="F266" s="217" t="str">
        <f ca="1">IF(ISERROR($V266),"",OFFSET('Smelter Look-up'!$E$4,$V266-4,0))</f>
        <v>CID002513</v>
      </c>
      <c r="G266" s="217" t="str">
        <f ca="1">IF(C266=$X$4,"Enter smelter details",IF(ISERROR($V266),"",OFFSET('Smelter Look-up'!$F$4,$V266-4,0)))</f>
        <v>RMI</v>
      </c>
      <c r="H266" s="218">
        <f ca="1">IF(ISERROR($V266),"",OFFSET('Smelter Look-up'!$G$4,$V266-4,0))</f>
        <v>0</v>
      </c>
      <c r="I266" s="219" t="str">
        <f ca="1">IF(ISERROR($V266),"",OFFSET('Smelter Look-up'!$H$4,$V266-4,0))</f>
        <v>Chenzhou</v>
      </c>
      <c r="J266" s="219" t="str">
        <f ca="1">IF(ISERROR($V266),"",OFFSET('Smelter Look-up'!$I$4,$V266-4,0))</f>
        <v>Hunan Sheng</v>
      </c>
      <c r="K266" s="273"/>
      <c r="L266" s="273"/>
      <c r="M266" s="273"/>
      <c r="N266" s="273"/>
      <c r="O266" s="273"/>
      <c r="P266" s="220"/>
      <c r="Q266" s="274"/>
      <c r="R266" s="217" t="str">
        <f ca="1">IF(ISERROR($V266),"",OFFSET('Smelter Look-up'!$C$4,$V266-4,0)&amp;"")</f>
        <v>Chenzhou Diamond Tungsten Products Co., Ltd.</v>
      </c>
      <c r="S266" s="225" t="str">
        <f t="shared" ca="1" si="39"/>
        <v>CN</v>
      </c>
      <c r="T266" s="225" t="str">
        <f ca="1">IF(B266="","",IF(ISERROR(MATCH($J266,SorP!$B$1:$B$6230,0)),"",INDIRECT("'SorP'!$A$"&amp;MATCH($J266,SorP!$B$1:$B$6230,0))))</f>
        <v>CN-HN</v>
      </c>
      <c r="U266" s="241"/>
      <c r="V266" s="275">
        <f>IF(C266="",NA(),MATCH($B266&amp;$C266,'Smelter Look-up'!$J:$J,0))</f>
        <v>497</v>
      </c>
      <c r="W266" s="276"/>
      <c r="X266" s="276">
        <f t="shared" ca="1" si="40"/>
        <v>0</v>
      </c>
      <c r="Y266" s="276"/>
      <c r="Z266" s="276"/>
      <c r="AB266" s="278" t="str">
        <f t="shared" si="41"/>
        <v>TungstenChenzhou Diamond Tungsten Products Co., Ltd.</v>
      </c>
    </row>
    <row r="267" spans="1:28" s="277" customFormat="1" ht="27.95" customHeight="1">
      <c r="A267" s="216"/>
      <c r="B267" s="217" t="s">
        <v>1156</v>
      </c>
      <c r="C267" s="221" t="s">
        <v>14164</v>
      </c>
      <c r="D267" s="283"/>
      <c r="E267" s="217" t="str">
        <f ca="1">IF(ISERROR($V267),"",OFFSET('Smelter Look-up'!$D$4,$V267-4,0)&amp;"")</f>
        <v>CHINA</v>
      </c>
      <c r="F267" s="217" t="str">
        <f ca="1">IF(ISERROR($V267),"",OFFSET('Smelter Look-up'!$E$4,$V267-4,0))</f>
        <v>CID002641</v>
      </c>
      <c r="G267" s="217" t="str">
        <f ca="1">IF(C267=$X$4,"Enter smelter details",IF(ISERROR($V267),"",OFFSET('Smelter Look-up'!$F$4,$V267-4,0)))</f>
        <v>RMI</v>
      </c>
      <c r="H267" s="218">
        <f ca="1">IF(ISERROR($V267),"",OFFSET('Smelter Look-up'!$G$4,$V267-4,0))</f>
        <v>0</v>
      </c>
      <c r="I267" s="219" t="str">
        <f ca="1">IF(ISERROR($V267),"",OFFSET('Smelter Look-up'!$H$4,$V267-4,0))</f>
        <v>Luoyang</v>
      </c>
      <c r="J267" s="219" t="str">
        <f ca="1">IF(ISERROR($V267),"",OFFSET('Smelter Look-up'!$I$4,$V267-4,0))</f>
        <v>Hunan Sheng</v>
      </c>
      <c r="K267" s="273"/>
      <c r="L267" s="273"/>
      <c r="M267" s="273"/>
      <c r="N267" s="273"/>
      <c r="O267" s="273"/>
      <c r="P267" s="220"/>
      <c r="Q267" s="274"/>
      <c r="R267" s="217" t="str">
        <f ca="1">IF(ISERROR($V267),"",OFFSET('Smelter Look-up'!$C$4,$V267-4,0)&amp;"")</f>
        <v>China Molybdenum Co., Ltd.</v>
      </c>
      <c r="S267" s="225" t="str">
        <f t="shared" ca="1" si="39"/>
        <v>CN</v>
      </c>
      <c r="T267" s="225" t="str">
        <f ca="1">IF(B267="","",IF(ISERROR(MATCH($J267,SorP!$B$1:$B$6230,0)),"",INDIRECT("'SorP'!$A$"&amp;MATCH($J267,SorP!$B$1:$B$6230,0))))</f>
        <v>CN-HN</v>
      </c>
      <c r="U267" s="241"/>
      <c r="V267" s="275">
        <f>IF(C267="",NA(),MATCH($B267&amp;$C267,'Smelter Look-up'!$J:$J,0))</f>
        <v>498</v>
      </c>
      <c r="W267" s="276"/>
      <c r="X267" s="276">
        <f t="shared" ca="1" si="40"/>
        <v>0</v>
      </c>
      <c r="Y267" s="276"/>
      <c r="Z267" s="276"/>
      <c r="AB267" s="278" t="str">
        <f t="shared" si="41"/>
        <v>TungstenChina Molybdenum Co., Ltd.</v>
      </c>
    </row>
    <row r="268" spans="1:28" s="277" customFormat="1" ht="27.95" customHeight="1">
      <c r="A268" s="216"/>
      <c r="B268" s="217" t="s">
        <v>1156</v>
      </c>
      <c r="C268" s="221" t="s">
        <v>1402</v>
      </c>
      <c r="D268" s="283"/>
      <c r="E268" s="217" t="str">
        <f ca="1">IF(ISERROR($V268),"",OFFSET('Smelter Look-up'!$D$4,$V268-4,0)&amp;"")</f>
        <v>CHINA</v>
      </c>
      <c r="F268" s="217" t="str">
        <f ca="1">IF(ISERROR($V268),"",OFFSET('Smelter Look-up'!$E$4,$V268-4,0))</f>
        <v>CID000258</v>
      </c>
      <c r="G268" s="217" t="str">
        <f ca="1">IF(C268=$X$4,"Enter smelter details",IF(ISERROR($V268),"",OFFSET('Smelter Look-up'!$F$4,$V268-4,0)))</f>
        <v>RMI</v>
      </c>
      <c r="H268" s="218">
        <f ca="1">IF(ISERROR($V268),"",OFFSET('Smelter Look-up'!$G$4,$V268-4,0))</f>
        <v>0</v>
      </c>
      <c r="I268" s="219" t="str">
        <f ca="1">IF(ISERROR($V268),"",OFFSET('Smelter Look-up'!$H$4,$V268-4,0))</f>
        <v>Ganzhou</v>
      </c>
      <c r="J268" s="219" t="str">
        <f ca="1">IF(ISERROR($V268),"",OFFSET('Smelter Look-up'!$I$4,$V268-4,0))</f>
        <v>Jiangxi Sheng</v>
      </c>
      <c r="K268" s="273"/>
      <c r="L268" s="273"/>
      <c r="M268" s="273"/>
      <c r="N268" s="273"/>
      <c r="O268" s="273"/>
      <c r="P268" s="220"/>
      <c r="Q268" s="274"/>
      <c r="R268" s="217" t="str">
        <f ca="1">IF(ISERROR($V268),"",OFFSET('Smelter Look-up'!$C$4,$V268-4,0)&amp;"")</f>
        <v>Chongyi Zhangyuan Tungsten Co., Ltd.</v>
      </c>
      <c r="S268" s="225" t="str">
        <f t="shared" ca="1" si="39"/>
        <v>CN</v>
      </c>
      <c r="T268" s="225" t="str">
        <f ca="1">IF(B268="","",IF(ISERROR(MATCH($J268,SorP!$B$1:$B$6230,0)),"",INDIRECT("'SorP'!$A$"&amp;MATCH($J268,SorP!$B$1:$B$6230,0))))</f>
        <v>CN-JX</v>
      </c>
      <c r="U268" s="241"/>
      <c r="V268" s="275">
        <f>IF(C268="",NA(),MATCH($B268&amp;$C268,'Smelter Look-up'!$J:$J,0))</f>
        <v>501</v>
      </c>
      <c r="W268" s="276"/>
      <c r="X268" s="276">
        <f t="shared" ca="1" si="40"/>
        <v>0</v>
      </c>
      <c r="Y268" s="276"/>
      <c r="Z268" s="276"/>
      <c r="AB268" s="278" t="str">
        <f t="shared" si="41"/>
        <v>TungstenChongyi Zhangyuan Tungsten Co., Ltd.</v>
      </c>
    </row>
    <row r="269" spans="1:28" s="277" customFormat="1" ht="27.95" customHeight="1">
      <c r="A269" s="216"/>
      <c r="B269" s="217" t="s">
        <v>1156</v>
      </c>
      <c r="C269" s="221" t="s">
        <v>2247</v>
      </c>
      <c r="D269" s="283"/>
      <c r="E269" s="217" t="str">
        <f ca="1">IF(ISERROR($V269),"",OFFSET('Smelter Look-up'!$D$4,$V269-4,0)&amp;"")</f>
        <v>CHINA</v>
      </c>
      <c r="F269" s="217" t="str">
        <f ca="1">IF(ISERROR($V269),"",OFFSET('Smelter Look-up'!$E$4,$V269-4,0))</f>
        <v>CID000281</v>
      </c>
      <c r="G269" s="217" t="str">
        <f ca="1">IF(C269=$X$4,"Enter smelter details",IF(ISERROR($V269),"",OFFSET('Smelter Look-up'!$F$4,$V269-4,0)))</f>
        <v>RMI</v>
      </c>
      <c r="H269" s="218">
        <f ca="1">IF(ISERROR($V269),"",OFFSET('Smelter Look-up'!$G$4,$V269-4,0))</f>
        <v>0</v>
      </c>
      <c r="I269" s="219" t="str">
        <f ca="1">IF(ISERROR($V269),"",OFFSET('Smelter Look-up'!$H$4,$V269-4,0))</f>
        <v>Hezhou</v>
      </c>
      <c r="J269" s="219" t="str">
        <f ca="1">IF(ISERROR($V269),"",OFFSET('Smelter Look-up'!$I$4,$V269-4,0))</f>
        <v>Guangxi Zhuangzu Zizhiqu</v>
      </c>
      <c r="K269" s="273"/>
      <c r="L269" s="273"/>
      <c r="M269" s="273"/>
      <c r="N269" s="273"/>
      <c r="O269" s="273"/>
      <c r="P269" s="220"/>
      <c r="Q269" s="274"/>
      <c r="R269" s="217" t="str">
        <f ca="1">IF(ISERROR($V269),"",OFFSET('Smelter Look-up'!$C$4,$V269-4,0)&amp;"")</f>
        <v>CNMC (Guangxi) PGMA Co., Ltd.</v>
      </c>
      <c r="S269" s="225" t="str">
        <f t="shared" ca="1" si="39"/>
        <v>CN</v>
      </c>
      <c r="T269" s="225" t="str">
        <f ca="1">IF(B269="","",IF(ISERROR(MATCH($J269,SorP!$B$1:$B$6230,0)),"",INDIRECT("'SorP'!$A$"&amp;MATCH($J269,SorP!$B$1:$B$6230,0))))</f>
        <v>CN-GX</v>
      </c>
      <c r="U269" s="241"/>
      <c r="V269" s="275">
        <f>IF(C269="",NA(),MATCH($B269&amp;$C269,'Smelter Look-up'!$J:$J,0))</f>
        <v>502</v>
      </c>
      <c r="W269" s="276"/>
      <c r="X269" s="276">
        <f t="shared" ca="1" si="40"/>
        <v>0</v>
      </c>
      <c r="Y269" s="276"/>
      <c r="Z269" s="276"/>
      <c r="AB269" s="278" t="str">
        <f t="shared" si="41"/>
        <v>TungstenCNMC (Guangxi) PGMA Co., Ltd.</v>
      </c>
    </row>
    <row r="270" spans="1:28" s="277" customFormat="1" ht="27.95" customHeight="1">
      <c r="A270" s="216"/>
      <c r="B270" s="217" t="s">
        <v>1156</v>
      </c>
      <c r="C270" s="221" t="s">
        <v>14168</v>
      </c>
      <c r="D270" s="283"/>
      <c r="E270" s="217" t="str">
        <f ca="1">IF(ISERROR($V270),"",OFFSET('Smelter Look-up'!$D$4,$V270-4,0)&amp;"")</f>
        <v>CHINA</v>
      </c>
      <c r="F270" s="217" t="str">
        <f ca="1">IF(ISERROR($V270),"",OFFSET('Smelter Look-up'!$E$4,$V270-4,0))</f>
        <v>CID003401</v>
      </c>
      <c r="G270" s="217" t="str">
        <f ca="1">IF(C270=$X$4,"Enter smelter details",IF(ISERROR($V270),"",OFFSET('Smelter Look-up'!$F$4,$V270-4,0)))</f>
        <v>RMI</v>
      </c>
      <c r="H270" s="218">
        <f ca="1">IF(ISERROR($V270),"",OFFSET('Smelter Look-up'!$G$4,$V270-4,0))</f>
        <v>0</v>
      </c>
      <c r="I270" s="219" t="str">
        <f ca="1">IF(ISERROR($V270),"",OFFSET('Smelter Look-up'!$H$4,$V270-4,0))</f>
        <v>Longyan</v>
      </c>
      <c r="J270" s="219" t="str">
        <f ca="1">IF(ISERROR($V270),"",OFFSET('Smelter Look-up'!$I$4,$V270-4,0))</f>
        <v>Fujian Sheng</v>
      </c>
      <c r="K270" s="273"/>
      <c r="L270" s="273"/>
      <c r="M270" s="273"/>
      <c r="N270" s="273"/>
      <c r="O270" s="273"/>
      <c r="P270" s="220"/>
      <c r="Q270" s="274"/>
      <c r="R270" s="217" t="str">
        <f ca="1">IF(ISERROR($V270),"",OFFSET('Smelter Look-up'!$C$4,$V270-4,0)&amp;"")</f>
        <v>Fujian Ganmin RareMetal Co., Ltd.</v>
      </c>
      <c r="S270" s="225" t="str">
        <f t="shared" ca="1" si="39"/>
        <v>CN</v>
      </c>
      <c r="T270" s="225" t="str">
        <f ca="1">IF(B270="","",IF(ISERROR(MATCH($J270,SorP!$B$1:$B$6230,0)),"",INDIRECT("'SorP'!$A$"&amp;MATCH($J270,SorP!$B$1:$B$6230,0))))</f>
        <v>CN-FJ</v>
      </c>
      <c r="U270" s="241"/>
      <c r="V270" s="275">
        <f>IF(C270="",NA(),MATCH($B270&amp;$C270,'Smelter Look-up'!$J:$J,0))</f>
        <v>505</v>
      </c>
      <c r="W270" s="276"/>
      <c r="X270" s="276">
        <f t="shared" ca="1" si="40"/>
        <v>0</v>
      </c>
      <c r="Y270" s="276"/>
      <c r="Z270" s="276"/>
      <c r="AB270" s="278" t="str">
        <f t="shared" si="41"/>
        <v>TungstenFujian Ganmin RareMetal Co., Ltd.</v>
      </c>
    </row>
    <row r="271" spans="1:28" s="277" customFormat="1" ht="27.95" customHeight="1">
      <c r="A271" s="216"/>
      <c r="B271" s="217" t="s">
        <v>1156</v>
      </c>
      <c r="C271" s="221" t="s">
        <v>837</v>
      </c>
      <c r="D271" s="283"/>
      <c r="E271" s="217" t="str">
        <f ca="1">IF(ISERROR($V271),"",OFFSET('Smelter Look-up'!$D$4,$V271-4,0)&amp;"")</f>
        <v>CHINA</v>
      </c>
      <c r="F271" s="217" t="str">
        <f ca="1">IF(ISERROR($V271),"",OFFSET('Smelter Look-up'!$E$4,$V271-4,0))</f>
        <v>CID000499</v>
      </c>
      <c r="G271" s="217" t="str">
        <f ca="1">IF(C271=$X$4,"Enter smelter details",IF(ISERROR($V271),"",OFFSET('Smelter Look-up'!$F$4,$V271-4,0)))</f>
        <v>RMI</v>
      </c>
      <c r="H271" s="218">
        <f ca="1">IF(ISERROR($V271),"",OFFSET('Smelter Look-up'!$G$4,$V271-4,0))</f>
        <v>0</v>
      </c>
      <c r="I271" s="219" t="str">
        <f ca="1">IF(ISERROR($V271),"",OFFSET('Smelter Look-up'!$H$4,$V271-4,0))</f>
        <v>Yanshi</v>
      </c>
      <c r="J271" s="219" t="str">
        <f ca="1">IF(ISERROR($V271),"",OFFSET('Smelter Look-up'!$I$4,$V271-4,0))</f>
        <v>Fujian Sheng</v>
      </c>
      <c r="K271" s="273"/>
      <c r="L271" s="273"/>
      <c r="M271" s="273"/>
      <c r="N271" s="273"/>
      <c r="O271" s="273"/>
      <c r="P271" s="220"/>
      <c r="Q271" s="274"/>
      <c r="R271" s="217" t="str">
        <f ca="1">IF(ISERROR($V271),"",OFFSET('Smelter Look-up'!$C$4,$V271-4,0)&amp;"")</f>
        <v>Fujian Jinxin Tungsten Co., Ltd.</v>
      </c>
      <c r="S271" s="225" t="str">
        <f t="shared" ca="1" si="39"/>
        <v>CN</v>
      </c>
      <c r="T271" s="225" t="str">
        <f ca="1">IF(B271="","",IF(ISERROR(MATCH($J271,SorP!$B$1:$B$6230,0)),"",INDIRECT("'SorP'!$A$"&amp;MATCH($J271,SorP!$B$1:$B$6230,0))))</f>
        <v>CN-FJ</v>
      </c>
      <c r="U271" s="241"/>
      <c r="V271" s="275">
        <f>IF(C271="",NA(),MATCH($B271&amp;$C271,'Smelter Look-up'!$J:$J,0))</f>
        <v>506</v>
      </c>
      <c r="W271" s="276"/>
      <c r="X271" s="276">
        <f t="shared" ca="1" si="40"/>
        <v>0</v>
      </c>
      <c r="Y271" s="276"/>
      <c r="Z271" s="276"/>
      <c r="AB271" s="278" t="str">
        <f t="shared" si="41"/>
        <v>TungstenFujian Jinxin Tungsten Co., Ltd.</v>
      </c>
    </row>
    <row r="272" spans="1:28" s="277" customFormat="1" ht="27.95" customHeight="1">
      <c r="A272" s="216"/>
      <c r="B272" s="217" t="s">
        <v>1156</v>
      </c>
      <c r="C272" s="221" t="s">
        <v>13272</v>
      </c>
      <c r="D272" s="283"/>
      <c r="E272" s="217" t="str">
        <f ca="1">IF(ISERROR($V272),"",OFFSET('Smelter Look-up'!$D$4,$V272-4,0)&amp;"")</f>
        <v>CHINA</v>
      </c>
      <c r="F272" s="217" t="str">
        <f ca="1">IF(ISERROR($V272),"",OFFSET('Smelter Look-up'!$E$4,$V272-4,0))</f>
        <v>CID002645</v>
      </c>
      <c r="G272" s="217" t="str">
        <f ca="1">IF(C272=$X$4,"Enter smelter details",IF(ISERROR($V272),"",OFFSET('Smelter Look-up'!$F$4,$V272-4,0)))</f>
        <v>RMI</v>
      </c>
      <c r="H272" s="218">
        <f ca="1">IF(ISERROR($V272),"",OFFSET('Smelter Look-up'!$G$4,$V272-4,0))</f>
        <v>0</v>
      </c>
      <c r="I272" s="219" t="str">
        <f ca="1">IF(ISERROR($V272),"",OFFSET('Smelter Look-up'!$H$4,$V272-4,0))</f>
        <v>Ganzhou</v>
      </c>
      <c r="J272" s="219" t="str">
        <f ca="1">IF(ISERROR($V272),"",OFFSET('Smelter Look-up'!$I$4,$V272-4,0))</f>
        <v>Jiangxi Sheng</v>
      </c>
      <c r="K272" s="273"/>
      <c r="L272" s="273"/>
      <c r="M272" s="273"/>
      <c r="N272" s="273"/>
      <c r="O272" s="273"/>
      <c r="P272" s="220"/>
      <c r="Q272" s="274"/>
      <c r="R272" s="217" t="str">
        <f ca="1">IF(ISERROR($V272),"",OFFSET('Smelter Look-up'!$C$4,$V272-4,0)&amp;"")</f>
        <v>Ganzhou Haichuang Tungsten Co., Ltd.</v>
      </c>
      <c r="S272" s="225" t="str">
        <f t="shared" ca="1" si="39"/>
        <v>CN</v>
      </c>
      <c r="T272" s="225" t="str">
        <f ca="1">IF(B272="","",IF(ISERROR(MATCH($J272,SorP!$B$1:$B$6230,0)),"",INDIRECT("'SorP'!$A$"&amp;MATCH($J272,SorP!$B$1:$B$6230,0))))</f>
        <v>CN-JX</v>
      </c>
      <c r="U272" s="241"/>
      <c r="V272" s="275">
        <f>IF(C272="",NA(),MATCH($B272&amp;$C272,'Smelter Look-up'!$J:$J,0))</f>
        <v>507</v>
      </c>
      <c r="W272" s="276"/>
      <c r="X272" s="276">
        <f t="shared" ca="1" si="40"/>
        <v>0</v>
      </c>
      <c r="Y272" s="276"/>
      <c r="Z272" s="276"/>
      <c r="AB272" s="278" t="str">
        <f t="shared" si="41"/>
        <v>TungstenGanzhou Haichuang Tungsten Co., Ltd.</v>
      </c>
    </row>
    <row r="273" spans="1:28" s="277" customFormat="1" ht="27.95" customHeight="1">
      <c r="A273" s="216"/>
      <c r="B273" s="217" t="s">
        <v>1156</v>
      </c>
      <c r="C273" s="221" t="s">
        <v>152</v>
      </c>
      <c r="D273" s="283"/>
      <c r="E273" s="217" t="str">
        <f ca="1">IF(ISERROR($V273),"",OFFSET('Smelter Look-up'!$D$4,$V273-4,0)&amp;"")</f>
        <v>CHINA</v>
      </c>
      <c r="F273" s="217" t="str">
        <f ca="1">IF(ISERROR($V273),"",OFFSET('Smelter Look-up'!$E$4,$V273-4,0))</f>
        <v>CID000875</v>
      </c>
      <c r="G273" s="217" t="str">
        <f ca="1">IF(C273=$X$4,"Enter smelter details",IF(ISERROR($V273),"",OFFSET('Smelter Look-up'!$F$4,$V273-4,0)))</f>
        <v>RMI</v>
      </c>
      <c r="H273" s="218">
        <f ca="1">IF(ISERROR($V273),"",OFFSET('Smelter Look-up'!$G$4,$V273-4,0))</f>
        <v>0</v>
      </c>
      <c r="I273" s="219" t="str">
        <f ca="1">IF(ISERROR($V273),"",OFFSET('Smelter Look-up'!$H$4,$V273-4,0))</f>
        <v>Ganzhou</v>
      </c>
      <c r="J273" s="219" t="str">
        <f ca="1">IF(ISERROR($V273),"",OFFSET('Smelter Look-up'!$I$4,$V273-4,0))</f>
        <v>Jiangxi Sheng</v>
      </c>
      <c r="K273" s="273"/>
      <c r="L273" s="273"/>
      <c r="M273" s="273"/>
      <c r="N273" s="273"/>
      <c r="O273" s="273"/>
      <c r="P273" s="220"/>
      <c r="Q273" s="274"/>
      <c r="R273" s="217" t="str">
        <f ca="1">IF(ISERROR($V273),"",OFFSET('Smelter Look-up'!$C$4,$V273-4,0)&amp;"")</f>
        <v>Ganzhou Huaxing Tungsten Products Co., Ltd.</v>
      </c>
      <c r="S273" s="225" t="str">
        <f t="shared" ca="1" si="39"/>
        <v>CN</v>
      </c>
      <c r="T273" s="225" t="str">
        <f ca="1">IF(B273="","",IF(ISERROR(MATCH($J273,SorP!$B$1:$B$6230,0)),"",INDIRECT("'SorP'!$A$"&amp;MATCH($J273,SorP!$B$1:$B$6230,0))))</f>
        <v>CN-JX</v>
      </c>
      <c r="U273" s="241"/>
      <c r="V273" s="275">
        <f>IF(C273="",NA(),MATCH($B273&amp;$C273,'Smelter Look-up'!$J:$J,0))</f>
        <v>508</v>
      </c>
      <c r="W273" s="276"/>
      <c r="X273" s="276">
        <f t="shared" ca="1" si="40"/>
        <v>0</v>
      </c>
      <c r="Y273" s="276"/>
      <c r="Z273" s="276"/>
      <c r="AB273" s="278" t="str">
        <f t="shared" si="41"/>
        <v>TungstenGanzhou Huaxing Tungsten Products Co., Ltd.</v>
      </c>
    </row>
    <row r="274" spans="1:28" s="277" customFormat="1" ht="27.95" customHeight="1">
      <c r="A274" s="216"/>
      <c r="B274" s="217" t="s">
        <v>1156</v>
      </c>
      <c r="C274" s="221" t="s">
        <v>154</v>
      </c>
      <c r="D274" s="283"/>
      <c r="E274" s="217" t="str">
        <f ca="1">IF(ISERROR($V274),"",OFFSET('Smelter Look-up'!$D$4,$V274-4,0)&amp;"")</f>
        <v>CHINA</v>
      </c>
      <c r="F274" s="217" t="str">
        <f ca="1">IF(ISERROR($V274),"",OFFSET('Smelter Look-up'!$E$4,$V274-4,0))</f>
        <v>CID002315</v>
      </c>
      <c r="G274" s="217" t="str">
        <f ca="1">IF(C274=$X$4,"Enter smelter details",IF(ISERROR($V274),"",OFFSET('Smelter Look-up'!$F$4,$V274-4,0)))</f>
        <v>RMI</v>
      </c>
      <c r="H274" s="218">
        <f ca="1">IF(ISERROR($V274),"",OFFSET('Smelter Look-up'!$G$4,$V274-4,0))</f>
        <v>0</v>
      </c>
      <c r="I274" s="219" t="str">
        <f ca="1">IF(ISERROR($V274),"",OFFSET('Smelter Look-up'!$H$4,$V274-4,0))</f>
        <v>Ganzhou</v>
      </c>
      <c r="J274" s="219" t="str">
        <f ca="1">IF(ISERROR($V274),"",OFFSET('Smelter Look-up'!$I$4,$V274-4,0))</f>
        <v>Jiangxi Sheng</v>
      </c>
      <c r="K274" s="273"/>
      <c r="L274" s="273"/>
      <c r="M274" s="273"/>
      <c r="N274" s="273"/>
      <c r="O274" s="273"/>
      <c r="P274" s="220"/>
      <c r="Q274" s="274"/>
      <c r="R274" s="217" t="str">
        <f ca="1">IF(ISERROR($V274),"",OFFSET('Smelter Look-up'!$C$4,$V274-4,0)&amp;"")</f>
        <v>Ganzhou Jiangwu Ferrotungsten Co., Ltd.</v>
      </c>
      <c r="S274" s="225" t="str">
        <f t="shared" ca="1" si="39"/>
        <v>CN</v>
      </c>
      <c r="T274" s="225" t="str">
        <f ca="1">IF(B274="","",IF(ISERROR(MATCH($J274,SorP!$B$1:$B$6230,0)),"",INDIRECT("'SorP'!$A$"&amp;MATCH($J274,SorP!$B$1:$B$6230,0))))</f>
        <v>CN-JX</v>
      </c>
      <c r="U274" s="241"/>
      <c r="V274" s="275">
        <f>IF(C274="",NA(),MATCH($B274&amp;$C274,'Smelter Look-up'!$J:$J,0))</f>
        <v>509</v>
      </c>
      <c r="W274" s="276"/>
      <c r="X274" s="276">
        <f t="shared" ca="1" si="40"/>
        <v>0</v>
      </c>
      <c r="Y274" s="276"/>
      <c r="Z274" s="276"/>
      <c r="AB274" s="278" t="str">
        <f t="shared" si="41"/>
        <v>TungstenGanzhou Jiangwu Ferrotungsten Co., Ltd.</v>
      </c>
    </row>
    <row r="275" spans="1:28" s="277" customFormat="1" ht="27.95" customHeight="1">
      <c r="A275" s="216"/>
      <c r="B275" s="217" t="s">
        <v>1156</v>
      </c>
      <c r="C275" s="221" t="s">
        <v>402</v>
      </c>
      <c r="D275" s="283"/>
      <c r="E275" s="217" t="str">
        <f ca="1">IF(ISERROR($V275),"",OFFSET('Smelter Look-up'!$D$4,$V275-4,0)&amp;"")</f>
        <v>CHINA</v>
      </c>
      <c r="F275" s="217" t="str">
        <f ca="1">IF(ISERROR($V275),"",OFFSET('Smelter Look-up'!$E$4,$V275-4,0))</f>
        <v>CID002494</v>
      </c>
      <c r="G275" s="217" t="str">
        <f ca="1">IF(C275=$X$4,"Enter smelter details",IF(ISERROR($V275),"",OFFSET('Smelter Look-up'!$F$4,$V275-4,0)))</f>
        <v>RMI</v>
      </c>
      <c r="H275" s="218">
        <f ca="1">IF(ISERROR($V275),"",OFFSET('Smelter Look-up'!$G$4,$V275-4,0))</f>
        <v>0</v>
      </c>
      <c r="I275" s="219" t="str">
        <f ca="1">IF(ISERROR($V275),"",OFFSET('Smelter Look-up'!$H$4,$V275-4,0))</f>
        <v>Ganzhou</v>
      </c>
      <c r="J275" s="219" t="str">
        <f ca="1">IF(ISERROR($V275),"",OFFSET('Smelter Look-up'!$I$4,$V275-4,0))</f>
        <v>Jiangxi Sheng</v>
      </c>
      <c r="K275" s="273"/>
      <c r="L275" s="273"/>
      <c r="M275" s="273"/>
      <c r="N275" s="273"/>
      <c r="O275" s="273"/>
      <c r="P275" s="220"/>
      <c r="Q275" s="274"/>
      <c r="R275" s="217" t="str">
        <f ca="1">IF(ISERROR($V275),"",OFFSET('Smelter Look-up'!$C$4,$V275-4,0)&amp;"")</f>
        <v>Ganzhou Seadragon W &amp; Mo Co., Ltd.</v>
      </c>
      <c r="S275" s="225" t="str">
        <f t="shared" ca="1" si="39"/>
        <v>CN</v>
      </c>
      <c r="T275" s="225" t="str">
        <f ca="1">IF(B275="","",IF(ISERROR(MATCH($J275,SorP!$B$1:$B$6230,0)),"",INDIRECT("'SorP'!$A$"&amp;MATCH($J275,SorP!$B$1:$B$6230,0))))</f>
        <v>CN-JX</v>
      </c>
      <c r="U275" s="241"/>
      <c r="V275" s="275">
        <f>IF(C275="",NA(),MATCH($B275&amp;$C275,'Smelter Look-up'!$J:$J,0))</f>
        <v>510</v>
      </c>
      <c r="W275" s="276"/>
      <c r="X275" s="276">
        <f t="shared" ca="1" si="40"/>
        <v>0</v>
      </c>
      <c r="Y275" s="276"/>
      <c r="Z275" s="276"/>
      <c r="AB275" s="278" t="str">
        <f t="shared" si="41"/>
        <v>TungstenGanzhou Seadragon W &amp; Mo Co., Ltd.</v>
      </c>
    </row>
    <row r="276" spans="1:28" s="277" customFormat="1" ht="27.95" customHeight="1">
      <c r="A276" s="216"/>
      <c r="B276" s="217" t="s">
        <v>1156</v>
      </c>
      <c r="C276" s="221" t="s">
        <v>14228</v>
      </c>
      <c r="D276" s="283"/>
      <c r="E276" s="217" t="str">
        <f ca="1">IF(ISERROR($V276),"",OFFSET('Smelter Look-up'!$D$4,$V276-4,0)&amp;"")</f>
        <v>CHINA</v>
      </c>
      <c r="F276" s="217" t="str">
        <f ca="1">IF(ISERROR($V276),"",OFFSET('Smelter Look-up'!$E$4,$V276-4,0))</f>
        <v>CID003417</v>
      </c>
      <c r="G276" s="217" t="str">
        <f ca="1">IF(C276=$X$4,"Enter smelter details",IF(ISERROR($V276),"",OFFSET('Smelter Look-up'!$F$4,$V276-4,0)))</f>
        <v>RMI</v>
      </c>
      <c r="H276" s="218">
        <f ca="1">IF(ISERROR($V276),"",OFFSET('Smelter Look-up'!$G$4,$V276-4,0))</f>
        <v>0</v>
      </c>
      <c r="I276" s="219" t="str">
        <f ca="1">IF(ISERROR($V276),"",OFFSET('Smelter Look-up'!$H$4,$V276-4,0))</f>
        <v/>
      </c>
      <c r="J276" s="219" t="str">
        <f ca="1">IF(ISERROR($V276),"",OFFSET('Smelter Look-up'!$I$4,$V276-4,0))</f>
        <v/>
      </c>
      <c r="K276" s="273"/>
      <c r="L276" s="273"/>
      <c r="M276" s="273"/>
      <c r="N276" s="273"/>
      <c r="O276" s="273"/>
      <c r="P276" s="220"/>
      <c r="Q276" s="274"/>
      <c r="R276" s="217" t="str">
        <f ca="1">IF(ISERROR($V276),"",OFFSET('Smelter Look-up'!$C$4,$V276-4,0)&amp;"")</f>
        <v>GEM Co., Ltd.</v>
      </c>
      <c r="S276" s="225" t="str">
        <f t="shared" ca="1" si="39"/>
        <v>CN</v>
      </c>
      <c r="T276" s="225" t="str">
        <f ca="1">IF(B276="","",IF(ISERROR(MATCH($J276,SorP!$B$1:$B$6230,0)),"",INDIRECT("'SorP'!$A$"&amp;MATCH($J276,SorP!$B$1:$B$6230,0))))</f>
        <v/>
      </c>
      <c r="U276" s="241"/>
      <c r="V276" s="275">
        <f>IF(C276="",NA(),MATCH($B276&amp;$C276,'Smelter Look-up'!$J:$J,0))</f>
        <v>511</v>
      </c>
      <c r="W276" s="276"/>
      <c r="X276" s="276">
        <f t="shared" ca="1" si="40"/>
        <v>0</v>
      </c>
      <c r="Y276" s="276"/>
      <c r="Z276" s="276"/>
      <c r="AB276" s="278" t="str">
        <f t="shared" si="41"/>
        <v>TungstenGEM Co., Ltd.</v>
      </c>
    </row>
    <row r="277" spans="1:28" s="277" customFormat="1" ht="27.95" customHeight="1">
      <c r="A277" s="216"/>
      <c r="B277" s="217" t="s">
        <v>1156</v>
      </c>
      <c r="C277" s="221" t="s">
        <v>1</v>
      </c>
      <c r="D277" s="283"/>
      <c r="E277" s="217" t="str">
        <f ca="1">IF(ISERROR($V277),"",OFFSET('Smelter Look-up'!$D$4,$V277-4,0)&amp;"")</f>
        <v>UNITED STATES OF AMERICA</v>
      </c>
      <c r="F277" s="217" t="str">
        <f ca="1">IF(ISERROR($V277),"",OFFSET('Smelter Look-up'!$E$4,$V277-4,0))</f>
        <v>CID000568</v>
      </c>
      <c r="G277" s="217" t="str">
        <f ca="1">IF(C277=$X$4,"Enter smelter details",IF(ISERROR($V277),"",OFFSET('Smelter Look-up'!$F$4,$V277-4,0)))</f>
        <v>RMI</v>
      </c>
      <c r="H277" s="218">
        <f ca="1">IF(ISERROR($V277),"",OFFSET('Smelter Look-up'!$G$4,$V277-4,0))</f>
        <v>0</v>
      </c>
      <c r="I277" s="219" t="str">
        <f ca="1">IF(ISERROR($V277),"",OFFSET('Smelter Look-up'!$H$4,$V277-4,0))</f>
        <v>Towanda</v>
      </c>
      <c r="J277" s="219" t="str">
        <f ca="1">IF(ISERROR($V277),"",OFFSET('Smelter Look-up'!$I$4,$V277-4,0))</f>
        <v>Pennsylvania</v>
      </c>
      <c r="K277" s="273"/>
      <c r="L277" s="273"/>
      <c r="M277" s="273"/>
      <c r="N277" s="273"/>
      <c r="O277" s="273"/>
      <c r="P277" s="220"/>
      <c r="Q277" s="274"/>
      <c r="R277" s="217" t="str">
        <f ca="1">IF(ISERROR($V277),"",OFFSET('Smelter Look-up'!$C$4,$V277-4,0)&amp;"")</f>
        <v>Global Tungsten &amp; Powders Corp.</v>
      </c>
      <c r="S277" s="225" t="str">
        <f t="shared" ca="1" si="39"/>
        <v>US</v>
      </c>
      <c r="T277" s="225" t="str">
        <f ca="1">IF(B277="","",IF(ISERROR(MATCH($J277,SorP!$B$1:$B$6230,0)),"",INDIRECT("'SorP'!$A$"&amp;MATCH($J277,SorP!$B$1:$B$6230,0))))</f>
        <v>US-PA</v>
      </c>
      <c r="U277" s="241"/>
      <c r="V277" s="275">
        <f>IF(C277="",NA(),MATCH($B277&amp;$C277,'Smelter Look-up'!$J:$J,0))</f>
        <v>512</v>
      </c>
      <c r="W277" s="276"/>
      <c r="X277" s="276">
        <f t="shared" ca="1" si="40"/>
        <v>0</v>
      </c>
      <c r="Y277" s="276"/>
      <c r="Z277" s="276"/>
      <c r="AB277" s="278" t="str">
        <f t="shared" si="41"/>
        <v>TungstenGlobal Tungsten &amp; Powders Corp.</v>
      </c>
    </row>
    <row r="278" spans="1:28" s="277" customFormat="1" ht="27.95" customHeight="1">
      <c r="A278" s="216"/>
      <c r="B278" s="217" t="s">
        <v>1156</v>
      </c>
      <c r="C278" s="221" t="s">
        <v>1403</v>
      </c>
      <c r="D278" s="283"/>
      <c r="E278" s="217" t="str">
        <f ca="1">IF(ISERROR($V278),"",OFFSET('Smelter Look-up'!$D$4,$V278-4,0)&amp;"")</f>
        <v>CHINA</v>
      </c>
      <c r="F278" s="217" t="str">
        <f ca="1">IF(ISERROR($V278),"",OFFSET('Smelter Look-up'!$E$4,$V278-4,0))</f>
        <v>CID000218</v>
      </c>
      <c r="G278" s="217" t="str">
        <f ca="1">IF(C278=$X$4,"Enter smelter details",IF(ISERROR($V278),"",OFFSET('Smelter Look-up'!$F$4,$V278-4,0)))</f>
        <v>RMI</v>
      </c>
      <c r="H278" s="218">
        <f ca="1">IF(ISERROR($V278),"",OFFSET('Smelter Look-up'!$G$4,$V278-4,0))</f>
        <v>0</v>
      </c>
      <c r="I278" s="219" t="str">
        <f ca="1">IF(ISERROR($V278),"",OFFSET('Smelter Look-up'!$H$4,$V278-4,0))</f>
        <v>Chaozhou</v>
      </c>
      <c r="J278" s="219" t="str">
        <f ca="1">IF(ISERROR($V278),"",OFFSET('Smelter Look-up'!$I$4,$V278-4,0))</f>
        <v>Guangdong Sheng</v>
      </c>
      <c r="K278" s="273"/>
      <c r="L278" s="273"/>
      <c r="M278" s="273"/>
      <c r="N278" s="273"/>
      <c r="O278" s="273"/>
      <c r="P278" s="220"/>
      <c r="Q278" s="274"/>
      <c r="R278" s="217" t="str">
        <f ca="1">IF(ISERROR($V278),"",OFFSET('Smelter Look-up'!$C$4,$V278-4,0)&amp;"")</f>
        <v>Guangdong Xianglu Tungsten Co., Ltd.</v>
      </c>
      <c r="S278" s="225" t="str">
        <f t="shared" ca="1" si="39"/>
        <v>CN</v>
      </c>
      <c r="T278" s="225" t="str">
        <f ca="1">IF(B278="","",IF(ISERROR(MATCH($J278,SorP!$B$1:$B$6230,0)),"",INDIRECT("'SorP'!$A$"&amp;MATCH($J278,SorP!$B$1:$B$6230,0))))</f>
        <v>CN-GD</v>
      </c>
      <c r="U278" s="241"/>
      <c r="V278" s="275">
        <f>IF(C278="",NA(),MATCH($B278&amp;$C278,'Smelter Look-up'!$J:$J,0))</f>
        <v>514</v>
      </c>
      <c r="W278" s="276"/>
      <c r="X278" s="276">
        <f t="shared" ca="1" si="40"/>
        <v>0</v>
      </c>
      <c r="Y278" s="276"/>
      <c r="Z278" s="276"/>
      <c r="AB278" s="278" t="str">
        <f t="shared" si="41"/>
        <v>TungstenGuangdong Xianglu Tungsten Co., Ltd.</v>
      </c>
    </row>
    <row r="279" spans="1:28" s="277" customFormat="1" ht="27.95" customHeight="1">
      <c r="A279" s="216"/>
      <c r="B279" s="217" t="s">
        <v>1156</v>
      </c>
      <c r="C279" s="221" t="s">
        <v>2461</v>
      </c>
      <c r="D279" s="283"/>
      <c r="E279" s="217" t="str">
        <f ca="1">IF(ISERROR($V279),"",OFFSET('Smelter Look-up'!$D$4,$V279-4,0)&amp;"")</f>
        <v>GERMANY</v>
      </c>
      <c r="F279" s="217" t="str">
        <f ca="1">IF(ISERROR($V279),"",OFFSET('Smelter Look-up'!$E$4,$V279-4,0))</f>
        <v>CID002542</v>
      </c>
      <c r="G279" s="217" t="str">
        <f ca="1">IF(C279=$X$4,"Enter smelter details",IF(ISERROR($V279),"",OFFSET('Smelter Look-up'!$F$4,$V279-4,0)))</f>
        <v>RMI</v>
      </c>
      <c r="H279" s="218">
        <f ca="1">IF(ISERROR($V279),"",OFFSET('Smelter Look-up'!$G$4,$V279-4,0))</f>
        <v>0</v>
      </c>
      <c r="I279" s="219" t="str">
        <f ca="1">IF(ISERROR($V279),"",OFFSET('Smelter Look-up'!$H$4,$V279-4,0))</f>
        <v>Laufenburg</v>
      </c>
      <c r="J279" s="219" t="str">
        <f ca="1">IF(ISERROR($V279),"",OFFSET('Smelter Look-up'!$I$4,$V279-4,0))</f>
        <v>Baden-Württemberg</v>
      </c>
      <c r="K279" s="273"/>
      <c r="L279" s="273"/>
      <c r="M279" s="273"/>
      <c r="N279" s="273"/>
      <c r="O279" s="273"/>
      <c r="P279" s="220"/>
      <c r="Q279" s="274"/>
      <c r="R279" s="217" t="str">
        <f ca="1">IF(ISERROR($V279),"",OFFSET('Smelter Look-up'!$C$4,$V279-4,0)&amp;"")</f>
        <v>H.C. Starck Smelting GmbH &amp; Co. KG</v>
      </c>
      <c r="S279" s="225" t="str">
        <f t="shared" ca="1" si="39"/>
        <v>DE</v>
      </c>
      <c r="T279" s="225" t="str">
        <f ca="1">IF(B279="","",IF(ISERROR(MATCH($J279,SorP!$B$1:$B$6230,0)),"",INDIRECT("'SorP'!$A$"&amp;MATCH($J279,SorP!$B$1:$B$6230,0))))</f>
        <v>DE-BW</v>
      </c>
      <c r="U279" s="241"/>
      <c r="V279" s="275">
        <f>IF(C279="",NA(),MATCH($B279&amp;$C279,'Smelter Look-up'!$J:$J,0))</f>
        <v>515</v>
      </c>
      <c r="W279" s="276"/>
      <c r="X279" s="276">
        <f t="shared" ca="1" si="40"/>
        <v>0</v>
      </c>
      <c r="Y279" s="276"/>
      <c r="Z279" s="276"/>
      <c r="AB279" s="278" t="str">
        <f t="shared" si="41"/>
        <v>TungstenH.C. Starck Smelting GmbH &amp; Co. KG</v>
      </c>
    </row>
    <row r="280" spans="1:28" s="277" customFormat="1" ht="27.95" customHeight="1">
      <c r="A280" s="216"/>
      <c r="B280" s="217" t="s">
        <v>1156</v>
      </c>
      <c r="C280" s="221" t="s">
        <v>2685</v>
      </c>
      <c r="D280" s="283"/>
      <c r="E280" s="217" t="str">
        <f ca="1">IF(ISERROR($V280),"",OFFSET('Smelter Look-up'!$D$4,$V280-4,0)&amp;"")</f>
        <v>GERMANY</v>
      </c>
      <c r="F280" s="217" t="str">
        <f ca="1">IF(ISERROR($V280),"",OFFSET('Smelter Look-up'!$E$4,$V280-4,0))</f>
        <v>CID002541</v>
      </c>
      <c r="G280" s="217" t="str">
        <f ca="1">IF(C280=$X$4,"Enter smelter details",IF(ISERROR($V280),"",OFFSET('Smelter Look-up'!$F$4,$V280-4,0)))</f>
        <v>RMI</v>
      </c>
      <c r="H280" s="218">
        <f ca="1">IF(ISERROR($V280),"",OFFSET('Smelter Look-up'!$G$4,$V280-4,0))</f>
        <v>0</v>
      </c>
      <c r="I280" s="219" t="str">
        <f ca="1">IF(ISERROR($V280),"",OFFSET('Smelter Look-up'!$H$4,$V280-4,0))</f>
        <v>Goslar</v>
      </c>
      <c r="J280" s="219" t="str">
        <f ca="1">IF(ISERROR($V280),"",OFFSET('Smelter Look-up'!$I$4,$V280-4,0))</f>
        <v>Niedersachsen</v>
      </c>
      <c r="K280" s="273"/>
      <c r="L280" s="273"/>
      <c r="M280" s="273"/>
      <c r="N280" s="273"/>
      <c r="O280" s="273"/>
      <c r="P280" s="220"/>
      <c r="Q280" s="274"/>
      <c r="R280" s="217" t="str">
        <f ca="1">IF(ISERROR($V280),"",OFFSET('Smelter Look-up'!$C$4,$V280-4,0)&amp;"")</f>
        <v>H.C. Starck Tungsten GmbH</v>
      </c>
      <c r="S280" s="225" t="str">
        <f t="shared" ca="1" si="39"/>
        <v>DE</v>
      </c>
      <c r="T280" s="225" t="str">
        <f ca="1">IF(B280="","",IF(ISERROR(MATCH($J280,SorP!$B$1:$B$6230,0)),"",INDIRECT("'SorP'!$A$"&amp;MATCH($J280,SorP!$B$1:$B$6230,0))))</f>
        <v>DE-NI</v>
      </c>
      <c r="U280" s="241"/>
      <c r="V280" s="275">
        <f>IF(C280="",NA(),MATCH($B280&amp;$C280,'Smelter Look-up'!$J:$J,0))</f>
        <v>516</v>
      </c>
      <c r="W280" s="276"/>
      <c r="X280" s="276">
        <f t="shared" ca="1" si="40"/>
        <v>0</v>
      </c>
      <c r="Y280" s="276"/>
      <c r="Z280" s="276"/>
      <c r="AB280" s="278" t="str">
        <f t="shared" si="41"/>
        <v>TungstenH.C. Starck Tungsten GmbH</v>
      </c>
    </row>
    <row r="281" spans="1:28" s="277" customFormat="1" ht="27.95" customHeight="1">
      <c r="A281" s="216"/>
      <c r="B281" s="217" t="s">
        <v>1156</v>
      </c>
      <c r="C281" s="221" t="s">
        <v>2324</v>
      </c>
      <c r="D281" s="283"/>
      <c r="E281" s="217" t="str">
        <f ca="1">IF(ISERROR($V281),"",OFFSET('Smelter Look-up'!$D$4,$V281-4,0)&amp;"")</f>
        <v>CHINA</v>
      </c>
      <c r="F281" s="217" t="str">
        <f ca="1">IF(ISERROR($V281),"",OFFSET('Smelter Look-up'!$E$4,$V281-4,0))</f>
        <v>CID000766</v>
      </c>
      <c r="G281" s="217" t="str">
        <f ca="1">IF(C281=$X$4,"Enter smelter details",IF(ISERROR($V281),"",OFFSET('Smelter Look-up'!$F$4,$V281-4,0)))</f>
        <v>RMI</v>
      </c>
      <c r="H281" s="218">
        <f ca="1">IF(ISERROR($V281),"",OFFSET('Smelter Look-up'!$G$4,$V281-4,0))</f>
        <v>0</v>
      </c>
      <c r="I281" s="219" t="str">
        <f ca="1">IF(ISERROR($V281),"",OFFSET('Smelter Look-up'!$H$4,$V281-4,0))</f>
        <v>Yuanling</v>
      </c>
      <c r="J281" s="219" t="str">
        <f ca="1">IF(ISERROR($V281),"",OFFSET('Smelter Look-up'!$I$4,$V281-4,0))</f>
        <v>Hunan Sheng</v>
      </c>
      <c r="K281" s="273"/>
      <c r="L281" s="273"/>
      <c r="M281" s="273"/>
      <c r="N281" s="273"/>
      <c r="O281" s="273"/>
      <c r="P281" s="220"/>
      <c r="Q281" s="274"/>
      <c r="R281" s="217" t="str">
        <f ca="1">IF(ISERROR($V281),"",OFFSET('Smelter Look-up'!$C$4,$V281-4,0)&amp;"")</f>
        <v>Hunan Chenzhou Mining Co., Ltd.</v>
      </c>
      <c r="S281" s="225" t="str">
        <f t="shared" ca="1" si="39"/>
        <v>CN</v>
      </c>
      <c r="T281" s="225" t="str">
        <f ca="1">IF(B281="","",IF(ISERROR(MATCH($J281,SorP!$B$1:$B$6230,0)),"",INDIRECT("'SorP'!$A$"&amp;MATCH($J281,SorP!$B$1:$B$6230,0))))</f>
        <v>CN-HN</v>
      </c>
      <c r="U281" s="241"/>
      <c r="V281" s="275">
        <f>IF(C281="",NA(),MATCH($B281&amp;$C281,'Smelter Look-up'!$J:$J,0))</f>
        <v>519</v>
      </c>
      <c r="W281" s="276"/>
      <c r="X281" s="276">
        <f t="shared" ca="1" si="40"/>
        <v>0</v>
      </c>
      <c r="Y281" s="276"/>
      <c r="Z281" s="276"/>
      <c r="AB281" s="278" t="str">
        <f t="shared" si="41"/>
        <v>TungstenHunan Chenzhou Mining Co., Ltd.</v>
      </c>
    </row>
    <row r="282" spans="1:28" s="277" customFormat="1" ht="27.95" customHeight="1">
      <c r="A282" s="216"/>
      <c r="B282" s="217" t="s">
        <v>1156</v>
      </c>
      <c r="C282" s="221" t="s">
        <v>1886</v>
      </c>
      <c r="D282" s="283"/>
      <c r="E282" s="217" t="str">
        <f ca="1">IF(ISERROR($V282),"",OFFSET('Smelter Look-up'!$D$4,$V282-4,0)&amp;"")</f>
        <v>CHINA</v>
      </c>
      <c r="F282" s="217" t="str">
        <f ca="1">IF(ISERROR($V282),"",OFFSET('Smelter Look-up'!$E$4,$V282-4,0))</f>
        <v>CID002579</v>
      </c>
      <c r="G282" s="217" t="str">
        <f ca="1">IF(C282=$X$4,"Enter smelter details",IF(ISERROR($V282),"",OFFSET('Smelter Look-up'!$F$4,$V282-4,0)))</f>
        <v>RMI</v>
      </c>
      <c r="H282" s="218">
        <f ca="1">IF(ISERROR($V282),"",OFFSET('Smelter Look-up'!$G$4,$V282-4,0))</f>
        <v>0</v>
      </c>
      <c r="I282" s="219" t="str">
        <f ca="1">IF(ISERROR($V282),"",OFFSET('Smelter Look-up'!$H$4,$V282-4,0))</f>
        <v>Hengyang</v>
      </c>
      <c r="J282" s="219" t="str">
        <f ca="1">IF(ISERROR($V282),"",OFFSET('Smelter Look-up'!$I$4,$V282-4,0))</f>
        <v>Hunan Sheng</v>
      </c>
      <c r="K282" s="273"/>
      <c r="L282" s="273"/>
      <c r="M282" s="273"/>
      <c r="N282" s="273"/>
      <c r="O282" s="273"/>
      <c r="P282" s="220"/>
      <c r="Q282" s="274"/>
      <c r="R282" s="217" t="str">
        <f ca="1">IF(ISERROR($V282),"",OFFSET('Smelter Look-up'!$C$4,$V282-4,0)&amp;"")</f>
        <v>Hunan Chuangda Vanadium Tungsten Co., Ltd. Wuji</v>
      </c>
      <c r="S282" s="225" t="str">
        <f t="shared" ca="1" si="39"/>
        <v>CN</v>
      </c>
      <c r="T282" s="225" t="str">
        <f ca="1">IF(B282="","",IF(ISERROR(MATCH($J282,SorP!$B$1:$B$6230,0)),"",INDIRECT("'SorP'!$A$"&amp;MATCH($J282,SorP!$B$1:$B$6230,0))))</f>
        <v>CN-HN</v>
      </c>
      <c r="U282" s="241"/>
      <c r="V282" s="275">
        <f>IF(C282="",NA(),MATCH($B282&amp;$C282,'Smelter Look-up'!$J:$J,0))</f>
        <v>521</v>
      </c>
      <c r="W282" s="276"/>
      <c r="X282" s="276">
        <f t="shared" ca="1" si="40"/>
        <v>0</v>
      </c>
      <c r="Y282" s="276"/>
      <c r="Z282" s="276"/>
      <c r="AB282" s="278" t="str">
        <f t="shared" si="41"/>
        <v>TungstenHunan Chuangda Vanadium Tungsten Co., Ltd. Wuji</v>
      </c>
    </row>
    <row r="283" spans="1:28" s="277" customFormat="1" ht="27.95" customHeight="1">
      <c r="A283" s="216"/>
      <c r="B283" s="217" t="s">
        <v>1156</v>
      </c>
      <c r="C283" s="221" t="s">
        <v>1404</v>
      </c>
      <c r="D283" s="283"/>
      <c r="E283" s="217" t="str">
        <f ca="1">IF(ISERROR($V283),"",OFFSET('Smelter Look-up'!$D$4,$V283-4,0)&amp;"")</f>
        <v>CHINA</v>
      </c>
      <c r="F283" s="217" t="str">
        <f ca="1">IF(ISERROR($V283),"",OFFSET('Smelter Look-up'!$E$4,$V283-4,0))</f>
        <v>CID000769</v>
      </c>
      <c r="G283" s="217" t="str">
        <f ca="1">IF(C283=$X$4,"Enter smelter details",IF(ISERROR($V283),"",OFFSET('Smelter Look-up'!$F$4,$V283-4,0)))</f>
        <v>RMI</v>
      </c>
      <c r="H283" s="218">
        <f ca="1">IF(ISERROR($V283),"",OFFSET('Smelter Look-up'!$G$4,$V283-4,0))</f>
        <v>0</v>
      </c>
      <c r="I283" s="219" t="str">
        <f ca="1">IF(ISERROR($V283),"",OFFSET('Smelter Look-up'!$H$4,$V283-4,0))</f>
        <v>Hengyang</v>
      </c>
      <c r="J283" s="219" t="str">
        <f ca="1">IF(ISERROR($V283),"",OFFSET('Smelter Look-up'!$I$4,$V283-4,0))</f>
        <v>Hunan Sheng</v>
      </c>
      <c r="K283" s="273"/>
      <c r="L283" s="273"/>
      <c r="M283" s="273"/>
      <c r="N283" s="273"/>
      <c r="O283" s="273"/>
      <c r="P283" s="220"/>
      <c r="Q283" s="274"/>
      <c r="R283" s="217" t="str">
        <f ca="1">IF(ISERROR($V283),"",OFFSET('Smelter Look-up'!$C$4,$V283-4,0)&amp;"")</f>
        <v>Hunan Chunchang Nonferrous Metals Co., Ltd.</v>
      </c>
      <c r="S283" s="225" t="str">
        <f t="shared" ca="1" si="39"/>
        <v>CN</v>
      </c>
      <c r="T283" s="225" t="str">
        <f ca="1">IF(B283="","",IF(ISERROR(MATCH($J283,SorP!$B$1:$B$6230,0)),"",INDIRECT("'SorP'!$A$"&amp;MATCH($J283,SorP!$B$1:$B$6230,0))))</f>
        <v>CN-HN</v>
      </c>
      <c r="U283" s="241"/>
      <c r="V283" s="275">
        <f>IF(C283="",NA(),MATCH($B283&amp;$C283,'Smelter Look-up'!$J:$J,0))</f>
        <v>522</v>
      </c>
      <c r="W283" s="276"/>
      <c r="X283" s="276">
        <f t="shared" ca="1" si="40"/>
        <v>0</v>
      </c>
      <c r="Y283" s="276"/>
      <c r="Z283" s="276"/>
      <c r="AB283" s="278" t="str">
        <f t="shared" si="41"/>
        <v>TungstenHunan Chunchang Nonferrous Metals Co., Ltd.</v>
      </c>
    </row>
    <row r="284" spans="1:28" s="277" customFormat="1" ht="27.95" customHeight="1">
      <c r="A284" s="216"/>
      <c r="B284" s="217" t="s">
        <v>1156</v>
      </c>
      <c r="C284" s="221" t="s">
        <v>2686</v>
      </c>
      <c r="D284" s="283"/>
      <c r="E284" s="217" t="str">
        <f ca="1">IF(ISERROR($V284),"",OFFSET('Smelter Look-up'!$D$4,$V284-4,0)&amp;"")</f>
        <v>CHINA</v>
      </c>
      <c r="F284" s="217" t="str">
        <f ca="1">IF(ISERROR($V284),"",OFFSET('Smelter Look-up'!$E$4,$V284-4,0))</f>
        <v>CID003182</v>
      </c>
      <c r="G284" s="217" t="str">
        <f ca="1">IF(C284=$X$4,"Enter smelter details",IF(ISERROR($V284),"",OFFSET('Smelter Look-up'!$F$4,$V284-4,0)))</f>
        <v>RMI</v>
      </c>
      <c r="H284" s="218">
        <f ca="1">IF(ISERROR($V284),"",OFFSET('Smelter Look-up'!$G$4,$V284-4,0))</f>
        <v>0</v>
      </c>
      <c r="I284" s="219" t="str">
        <f ca="1">IF(ISERROR($V284),"",OFFSET('Smelter Look-up'!$H$4,$V284-4,0))</f>
        <v>Yiyang</v>
      </c>
      <c r="J284" s="219" t="str">
        <f ca="1">IF(ISERROR($V284),"",OFFSET('Smelter Look-up'!$I$4,$V284-4,0))</f>
        <v>Hunan Sheng</v>
      </c>
      <c r="K284" s="273"/>
      <c r="L284" s="273"/>
      <c r="M284" s="273"/>
      <c r="N284" s="273"/>
      <c r="O284" s="273"/>
      <c r="P284" s="220"/>
      <c r="Q284" s="274"/>
      <c r="R284" s="217" t="str">
        <f ca="1">IF(ISERROR($V284),"",OFFSET('Smelter Look-up'!$C$4,$V284-4,0)&amp;"")</f>
        <v>Hunan Litian Tungsten Industry Co., Ltd.</v>
      </c>
      <c r="S284" s="225" t="str">
        <f t="shared" ca="1" si="39"/>
        <v>CN</v>
      </c>
      <c r="T284" s="225" t="str">
        <f ca="1">IF(B284="","",IF(ISERROR(MATCH($J284,SorP!$B$1:$B$6230,0)),"",INDIRECT("'SorP'!$A$"&amp;MATCH($J284,SorP!$B$1:$B$6230,0))))</f>
        <v>CN-HN</v>
      </c>
      <c r="U284" s="241"/>
      <c r="V284" s="275">
        <f>IF(C284="",NA(),MATCH($B284&amp;$C284,'Smelter Look-up'!$J:$J,0))</f>
        <v>523</v>
      </c>
      <c r="W284" s="276"/>
      <c r="X284" s="276">
        <f t="shared" ca="1" si="40"/>
        <v>0</v>
      </c>
      <c r="Y284" s="276"/>
      <c r="Z284" s="276"/>
      <c r="AB284" s="278" t="str">
        <f t="shared" si="41"/>
        <v>TungstenHunan Litian Tungsten Industry Co., Ltd.</v>
      </c>
    </row>
    <row r="285" spans="1:28" s="277" customFormat="1" ht="27.95" customHeight="1">
      <c r="A285" s="216"/>
      <c r="B285" s="217" t="s">
        <v>1156</v>
      </c>
      <c r="C285" s="221" t="s">
        <v>1891</v>
      </c>
      <c r="D285" s="283"/>
      <c r="E285" s="217" t="str">
        <f ca="1">IF(ISERROR($V285),"",OFFSET('Smelter Look-up'!$D$4,$V285-4,0)&amp;"")</f>
        <v>RUSSIAN FEDERATION</v>
      </c>
      <c r="F285" s="217" t="str">
        <f ca="1">IF(ISERROR($V285),"",OFFSET('Smelter Look-up'!$E$4,$V285-4,0))</f>
        <v>CID002649</v>
      </c>
      <c r="G285" s="217" t="str">
        <f ca="1">IF(C285=$X$4,"Enter smelter details",IF(ISERROR($V285),"",OFFSET('Smelter Look-up'!$F$4,$V285-4,0)))</f>
        <v>RMI</v>
      </c>
      <c r="H285" s="218">
        <f ca="1">IF(ISERROR($V285),"",OFFSET('Smelter Look-up'!$G$4,$V285-4,0))</f>
        <v>0</v>
      </c>
      <c r="I285" s="219" t="str">
        <f ca="1">IF(ISERROR($V285),"",OFFSET('Smelter Look-up'!$H$4,$V285-4,0))</f>
        <v>Nalchik</v>
      </c>
      <c r="J285" s="219" t="str">
        <f ca="1">IF(ISERROR($V285),"",OFFSET('Smelter Look-up'!$I$4,$V285-4,0))</f>
        <v>Kabardino-Balkarskaya Respublika</v>
      </c>
      <c r="K285" s="273"/>
      <c r="L285" s="273"/>
      <c r="M285" s="273"/>
      <c r="N285" s="273"/>
      <c r="O285" s="273"/>
      <c r="P285" s="220"/>
      <c r="Q285" s="274"/>
      <c r="R285" s="217" t="str">
        <f ca="1">IF(ISERROR($V285),"",OFFSET('Smelter Look-up'!$C$4,$V285-4,0)&amp;"")</f>
        <v>Hydrometallurg, JSC</v>
      </c>
      <c r="S285" s="225" t="str">
        <f t="shared" ca="1" si="39"/>
        <v>RU</v>
      </c>
      <c r="T285" s="225" t="str">
        <f ca="1">IF(B285="","",IF(ISERROR(MATCH($J285,SorP!$B$1:$B$6230,0)),"",INDIRECT("'SorP'!$A$"&amp;MATCH($J285,SorP!$B$1:$B$6230,0))))</f>
        <v>RU-KB</v>
      </c>
      <c r="U285" s="241"/>
      <c r="V285" s="275">
        <f>IF(C285="",NA(),MATCH($B285&amp;$C285,'Smelter Look-up'!$J:$J,0))</f>
        <v>524</v>
      </c>
      <c r="W285" s="276"/>
      <c r="X285" s="276">
        <f t="shared" ca="1" si="40"/>
        <v>0</v>
      </c>
      <c r="Y285" s="276"/>
      <c r="Z285" s="276"/>
      <c r="AB285" s="278" t="str">
        <f t="shared" si="41"/>
        <v>TungstenHydrometallurg, JSC</v>
      </c>
    </row>
    <row r="286" spans="1:28" s="277" customFormat="1" ht="27.95" customHeight="1">
      <c r="A286" s="216"/>
      <c r="B286" s="217" t="s">
        <v>1156</v>
      </c>
      <c r="C286" s="221" t="s">
        <v>1405</v>
      </c>
      <c r="D286" s="283"/>
      <c r="E286" s="217" t="str">
        <f ca="1">IF(ISERROR($V286),"",OFFSET('Smelter Look-up'!$D$4,$V286-4,0)&amp;"")</f>
        <v>JAPAN</v>
      </c>
      <c r="F286" s="217" t="str">
        <f ca="1">IF(ISERROR($V286),"",OFFSET('Smelter Look-up'!$E$4,$V286-4,0))</f>
        <v>CID000825</v>
      </c>
      <c r="G286" s="217" t="str">
        <f ca="1">IF(C286=$X$4,"Enter smelter details",IF(ISERROR($V286),"",OFFSET('Smelter Look-up'!$F$4,$V286-4,0)))</f>
        <v>RMI</v>
      </c>
      <c r="H286" s="218">
        <f ca="1">IF(ISERROR($V286),"",OFFSET('Smelter Look-up'!$G$4,$V286-4,0))</f>
        <v>0</v>
      </c>
      <c r="I286" s="219" t="str">
        <f ca="1">IF(ISERROR($V286),"",OFFSET('Smelter Look-up'!$H$4,$V286-4,0))</f>
        <v>Akita City</v>
      </c>
      <c r="J286" s="219" t="str">
        <f ca="1">IF(ISERROR($V286),"",OFFSET('Smelter Look-up'!$I$4,$V286-4,0))</f>
        <v>Akita</v>
      </c>
      <c r="K286" s="273"/>
      <c r="L286" s="273"/>
      <c r="M286" s="273"/>
      <c r="N286" s="273"/>
      <c r="O286" s="273"/>
      <c r="P286" s="220"/>
      <c r="Q286" s="274"/>
      <c r="R286" s="217" t="str">
        <f ca="1">IF(ISERROR($V286),"",OFFSET('Smelter Look-up'!$C$4,$V286-4,0)&amp;"")</f>
        <v>Japan New Metals Co., Ltd.</v>
      </c>
      <c r="S286" s="225" t="str">
        <f t="shared" ca="1" si="39"/>
        <v>JP</v>
      </c>
      <c r="T286" s="225" t="str">
        <f ca="1">IF(B286="","",IF(ISERROR(MATCH($J286,SorP!$B$1:$B$6230,0)),"",INDIRECT("'SorP'!$A$"&amp;MATCH($J286,SorP!$B$1:$B$6230,0))))</f>
        <v>JP-05</v>
      </c>
      <c r="U286" s="241"/>
      <c r="V286" s="275">
        <f>IF(C286="",NA(),MATCH($B286&amp;$C286,'Smelter Look-up'!$J:$J,0))</f>
        <v>525</v>
      </c>
      <c r="W286" s="276"/>
      <c r="X286" s="276">
        <f t="shared" ca="1" si="40"/>
        <v>0</v>
      </c>
      <c r="Y286" s="276"/>
      <c r="Z286" s="276"/>
      <c r="AB286" s="278" t="str">
        <f t="shared" si="41"/>
        <v>TungstenJapan New Metals Co., Ltd.</v>
      </c>
    </row>
    <row r="287" spans="1:28" s="277" customFormat="1" ht="27.95" customHeight="1">
      <c r="A287" s="216"/>
      <c r="B287" s="217" t="s">
        <v>1156</v>
      </c>
      <c r="C287" s="221" t="s">
        <v>1453</v>
      </c>
      <c r="D287" s="283"/>
      <c r="E287" s="217" t="str">
        <f ca="1">IF(ISERROR($V287),"",OFFSET('Smelter Look-up'!$D$4,$V287-4,0)&amp;"")</f>
        <v>CHINA</v>
      </c>
      <c r="F287" s="217" t="str">
        <f ca="1">IF(ISERROR($V287),"",OFFSET('Smelter Look-up'!$E$4,$V287-4,0))</f>
        <v>CID002551</v>
      </c>
      <c r="G287" s="217" t="str">
        <f ca="1">IF(C287=$X$4,"Enter smelter details",IF(ISERROR($V287),"",OFFSET('Smelter Look-up'!$F$4,$V287-4,0)))</f>
        <v>RMI</v>
      </c>
      <c r="H287" s="218">
        <f ca="1">IF(ISERROR($V287),"",OFFSET('Smelter Look-up'!$G$4,$V287-4,0))</f>
        <v>0</v>
      </c>
      <c r="I287" s="219" t="str">
        <f ca="1">IF(ISERROR($V287),"",OFFSET('Smelter Look-up'!$H$4,$V287-4,0))</f>
        <v>Ganzhou</v>
      </c>
      <c r="J287" s="219" t="str">
        <f ca="1">IF(ISERROR($V287),"",OFFSET('Smelter Look-up'!$I$4,$V287-4,0))</f>
        <v>Jiangxi Sheng</v>
      </c>
      <c r="K287" s="273"/>
      <c r="L287" s="273"/>
      <c r="M287" s="273"/>
      <c r="N287" s="273"/>
      <c r="O287" s="273"/>
      <c r="P287" s="220"/>
      <c r="Q287" s="274"/>
      <c r="R287" s="217" t="str">
        <f ca="1">IF(ISERROR($V287),"",OFFSET('Smelter Look-up'!$C$4,$V287-4,0)&amp;"")</f>
        <v>Jiangwu H.C. Starck Tungsten Products Co., Ltd.</v>
      </c>
      <c r="S287" s="225" t="str">
        <f t="shared" ca="1" si="39"/>
        <v>CN</v>
      </c>
      <c r="T287" s="225" t="str">
        <f ca="1">IF(B287="","",IF(ISERROR(MATCH($J287,SorP!$B$1:$B$6230,0)),"",INDIRECT("'SorP'!$A$"&amp;MATCH($J287,SorP!$B$1:$B$6230,0))))</f>
        <v>CN-JX</v>
      </c>
      <c r="U287" s="241"/>
      <c r="V287" s="275">
        <f>IF(C287="",NA(),MATCH($B287&amp;$C287,'Smelter Look-up'!$J:$J,0))</f>
        <v>526</v>
      </c>
      <c r="W287" s="276"/>
      <c r="X287" s="276">
        <f t="shared" ca="1" si="40"/>
        <v>0</v>
      </c>
      <c r="Y287" s="276"/>
      <c r="Z287" s="276"/>
      <c r="AB287" s="278" t="str">
        <f t="shared" si="41"/>
        <v>TungstenJiangwu H.C. Starck Tungsten Products Co., Ltd.</v>
      </c>
    </row>
    <row r="288" spans="1:28" s="277" customFormat="1" ht="27.95" customHeight="1">
      <c r="A288" s="216"/>
      <c r="B288" s="217" t="s">
        <v>1156</v>
      </c>
      <c r="C288" s="221" t="s">
        <v>160</v>
      </c>
      <c r="D288" s="283"/>
      <c r="E288" s="217" t="str">
        <f ca="1">IF(ISERROR($V288),"",OFFSET('Smelter Look-up'!$D$4,$V288-4,0)&amp;"")</f>
        <v>CHINA</v>
      </c>
      <c r="F288" s="217" t="str">
        <f ca="1">IF(ISERROR($V288),"",OFFSET('Smelter Look-up'!$E$4,$V288-4,0))</f>
        <v>CID002321</v>
      </c>
      <c r="G288" s="217" t="str">
        <f ca="1">IF(C288=$X$4,"Enter smelter details",IF(ISERROR($V288),"",OFFSET('Smelter Look-up'!$F$4,$V288-4,0)))</f>
        <v>RMI</v>
      </c>
      <c r="H288" s="218">
        <f ca="1">IF(ISERROR($V288),"",OFFSET('Smelter Look-up'!$G$4,$V288-4,0))</f>
        <v>0</v>
      </c>
      <c r="I288" s="219" t="str">
        <f ca="1">IF(ISERROR($V288),"",OFFSET('Smelter Look-up'!$H$4,$V288-4,0))</f>
        <v>Xiushui</v>
      </c>
      <c r="J288" s="219" t="str">
        <f ca="1">IF(ISERROR($V288),"",OFFSET('Smelter Look-up'!$I$4,$V288-4,0))</f>
        <v>Jiangxi Sheng</v>
      </c>
      <c r="K288" s="273"/>
      <c r="L288" s="273"/>
      <c r="M288" s="273"/>
      <c r="N288" s="273"/>
      <c r="O288" s="273"/>
      <c r="P288" s="220"/>
      <c r="Q288" s="274"/>
      <c r="R288" s="217" t="str">
        <f ca="1">IF(ISERROR($V288),"",OFFSET('Smelter Look-up'!$C$4,$V288-4,0)&amp;"")</f>
        <v>Jiangxi Gan Bei Tungsten Co., Ltd.</v>
      </c>
      <c r="S288" s="225" t="str">
        <f t="shared" ca="1" si="39"/>
        <v>CN</v>
      </c>
      <c r="T288" s="225" t="str">
        <f ca="1">IF(B288="","",IF(ISERROR(MATCH($J288,SorP!$B$1:$B$6230,0)),"",INDIRECT("'SorP'!$A$"&amp;MATCH($J288,SorP!$B$1:$B$6230,0))))</f>
        <v>CN-JX</v>
      </c>
      <c r="U288" s="241"/>
      <c r="V288" s="275">
        <f>IF(C288="",NA(),MATCH($B288&amp;$C288,'Smelter Look-up'!$J:$J,0))</f>
        <v>528</v>
      </c>
      <c r="W288" s="276"/>
      <c r="X288" s="276">
        <f t="shared" ca="1" si="40"/>
        <v>0</v>
      </c>
      <c r="Y288" s="276"/>
      <c r="Z288" s="276"/>
      <c r="AB288" s="278" t="str">
        <f t="shared" si="41"/>
        <v>TungstenJiangxi Gan Bei Tungsten Co., Ltd.</v>
      </c>
    </row>
    <row r="289" spans="1:28" s="277" customFormat="1" ht="27.95" customHeight="1">
      <c r="A289" s="216"/>
      <c r="B289" s="217" t="s">
        <v>1156</v>
      </c>
      <c r="C289" s="221" t="s">
        <v>838</v>
      </c>
      <c r="D289" s="283"/>
      <c r="E289" s="217" t="str">
        <f ca="1">IF(ISERROR($V289),"",OFFSET('Smelter Look-up'!$D$4,$V289-4,0)&amp;"")</f>
        <v>CHINA</v>
      </c>
      <c r="F289" s="217" t="str">
        <f ca="1">IF(ISERROR($V289),"",OFFSET('Smelter Look-up'!$E$4,$V289-4,0))</f>
        <v>CID002313</v>
      </c>
      <c r="G289" s="217" t="str">
        <f ca="1">IF(C289=$X$4,"Enter smelter details",IF(ISERROR($V289),"",OFFSET('Smelter Look-up'!$F$4,$V289-4,0)))</f>
        <v>RMI</v>
      </c>
      <c r="H289" s="218">
        <f ca="1">IF(ISERROR($V289),"",OFFSET('Smelter Look-up'!$G$4,$V289-4,0))</f>
        <v>0</v>
      </c>
      <c r="I289" s="219" t="str">
        <f ca="1">IF(ISERROR($V289),"",OFFSET('Smelter Look-up'!$H$4,$V289-4,0))</f>
        <v>Gao'an</v>
      </c>
      <c r="J289" s="219" t="str">
        <f ca="1">IF(ISERROR($V289),"",OFFSET('Smelter Look-up'!$I$4,$V289-4,0))</f>
        <v>Jiangxi Sheng</v>
      </c>
      <c r="K289" s="273"/>
      <c r="L289" s="273"/>
      <c r="M289" s="273"/>
      <c r="N289" s="273"/>
      <c r="O289" s="273"/>
      <c r="P289" s="220"/>
      <c r="Q289" s="274"/>
      <c r="R289" s="217" t="str">
        <f ca="1">IF(ISERROR($V289),"",OFFSET('Smelter Look-up'!$C$4,$V289-4,0)&amp;"")</f>
        <v>Jiangxi Minmetals Gao'an Non-ferrous Metals Co., Ltd.</v>
      </c>
      <c r="S289" s="225" t="str">
        <f t="shared" ca="1" si="39"/>
        <v>CN</v>
      </c>
      <c r="T289" s="225" t="str">
        <f ca="1">IF(B289="","",IF(ISERROR(MATCH($J289,SorP!$B$1:$B$6230,0)),"",INDIRECT("'SorP'!$A$"&amp;MATCH($J289,SorP!$B$1:$B$6230,0))))</f>
        <v>CN-JX</v>
      </c>
      <c r="U289" s="241"/>
      <c r="V289" s="275">
        <f>IF(C289="",NA(),MATCH($B289&amp;$C289,'Smelter Look-up'!$J:$J,0))</f>
        <v>529</v>
      </c>
      <c r="W289" s="276"/>
      <c r="X289" s="276">
        <f t="shared" ca="1" si="40"/>
        <v>0</v>
      </c>
      <c r="Y289" s="276"/>
      <c r="Z289" s="276"/>
      <c r="AB289" s="278" t="str">
        <f t="shared" si="41"/>
        <v>TungstenJiangxi Minmetals Gao'an Non-ferrous Metals Co., Ltd.</v>
      </c>
    </row>
    <row r="290" spans="1:28" s="277" customFormat="1" ht="27.95" customHeight="1">
      <c r="A290" s="216"/>
      <c r="B290" s="217" t="s">
        <v>1156</v>
      </c>
      <c r="C290" s="221" t="s">
        <v>157</v>
      </c>
      <c r="D290" s="283"/>
      <c r="E290" s="217" t="str">
        <f ca="1">IF(ISERROR($V290),"",OFFSET('Smelter Look-up'!$D$4,$V290-4,0)&amp;"")</f>
        <v>CHINA</v>
      </c>
      <c r="F290" s="217" t="str">
        <f ca="1">IF(ISERROR($V290),"",OFFSET('Smelter Look-up'!$E$4,$V290-4,0))</f>
        <v>CID002318</v>
      </c>
      <c r="G290" s="217" t="str">
        <f ca="1">IF(C290=$X$4,"Enter smelter details",IF(ISERROR($V290),"",OFFSET('Smelter Look-up'!$F$4,$V290-4,0)))</f>
        <v>RMI</v>
      </c>
      <c r="H290" s="218">
        <f ca="1">IF(ISERROR($V290),"",OFFSET('Smelter Look-up'!$G$4,$V290-4,0))</f>
        <v>0</v>
      </c>
      <c r="I290" s="219" t="str">
        <f ca="1">IF(ISERROR($V290),"",OFFSET('Smelter Look-up'!$H$4,$V290-4,0))</f>
        <v>Tonggu</v>
      </c>
      <c r="J290" s="219" t="str">
        <f ca="1">IF(ISERROR($V290),"",OFFSET('Smelter Look-up'!$I$4,$V290-4,0))</f>
        <v>Jiangxi Sheng</v>
      </c>
      <c r="K290" s="273"/>
      <c r="L290" s="273"/>
      <c r="M290" s="273"/>
      <c r="N290" s="273"/>
      <c r="O290" s="273"/>
      <c r="P290" s="220"/>
      <c r="Q290" s="274"/>
      <c r="R290" s="217" t="str">
        <f ca="1">IF(ISERROR($V290),"",OFFSET('Smelter Look-up'!$C$4,$V290-4,0)&amp;"")</f>
        <v>Jiangxi Tonggu Non-ferrous Metallurgical &amp; Chemical Co., Ltd.</v>
      </c>
      <c r="S290" s="225" t="str">
        <f t="shared" ca="1" si="39"/>
        <v>CN</v>
      </c>
      <c r="T290" s="225" t="str">
        <f ca="1">IF(B290="","",IF(ISERROR(MATCH($J290,SorP!$B$1:$B$6230,0)),"",INDIRECT("'SorP'!$A$"&amp;MATCH($J290,SorP!$B$1:$B$6230,0))))</f>
        <v>CN-JX</v>
      </c>
      <c r="U290" s="241"/>
      <c r="V290" s="275">
        <f>IF(C290="",NA(),MATCH($B290&amp;$C290,'Smelter Look-up'!$J:$J,0))</f>
        <v>530</v>
      </c>
      <c r="W290" s="276"/>
      <c r="X290" s="276">
        <f t="shared" ca="1" si="40"/>
        <v>0</v>
      </c>
      <c r="Y290" s="276"/>
      <c r="Z290" s="276"/>
      <c r="AB290" s="278" t="str">
        <f t="shared" si="41"/>
        <v>TungstenJiangxi Tonggu Non-ferrous Metallurgical &amp; Chemical Co., Ltd.</v>
      </c>
    </row>
    <row r="291" spans="1:28" s="277" customFormat="1" ht="27.95" customHeight="1">
      <c r="A291" s="216"/>
      <c r="B291" s="217" t="s">
        <v>1156</v>
      </c>
      <c r="C291" s="221" t="s">
        <v>14229</v>
      </c>
      <c r="D291" s="283"/>
      <c r="E291" s="217" t="str">
        <f ca="1">IF(ISERROR($V291),"",OFFSET('Smelter Look-up'!$D$4,$V291-4,0)&amp;"")</f>
        <v>CHINA</v>
      </c>
      <c r="F291" s="217" t="str">
        <f ca="1">IF(ISERROR($V291),"",OFFSET('Smelter Look-up'!$E$4,$V291-4,0))</f>
        <v>CID002647</v>
      </c>
      <c r="G291" s="217" t="str">
        <f ca="1">IF(C291=$X$4,"Enter smelter details",IF(ISERROR($V291),"",OFFSET('Smelter Look-up'!$F$4,$V291-4,0)))</f>
        <v>RMI</v>
      </c>
      <c r="H291" s="218">
        <f ca="1">IF(ISERROR($V291),"",OFFSET('Smelter Look-up'!$G$4,$V291-4,0))</f>
        <v>0</v>
      </c>
      <c r="I291" s="219" t="str">
        <f ca="1">IF(ISERROR($V291),"",OFFSET('Smelter Look-up'!$H$4,$V291-4,0))</f>
        <v>Huanglong</v>
      </c>
      <c r="J291" s="219" t="str">
        <f ca="1">IF(ISERROR($V291),"",OFFSET('Smelter Look-up'!$I$4,$V291-4,0))</f>
        <v>Jiangxi Sheng</v>
      </c>
      <c r="K291" s="273"/>
      <c r="L291" s="273"/>
      <c r="M291" s="273"/>
      <c r="N291" s="273"/>
      <c r="O291" s="273"/>
      <c r="P291" s="220"/>
      <c r="Q291" s="274"/>
      <c r="R291" s="217" t="str">
        <f ca="1">IF(ISERROR($V291),"",OFFSET('Smelter Look-up'!$C$4,$V291-4,0)&amp;"")</f>
        <v>Jiangxi Xianglu Tungsten Co., Ltd.</v>
      </c>
      <c r="S291" s="225" t="str">
        <f t="shared" ca="1" si="39"/>
        <v>CN</v>
      </c>
      <c r="T291" s="225" t="str">
        <f ca="1">IF(B291="","",IF(ISERROR(MATCH($J291,SorP!$B$1:$B$6230,0)),"",INDIRECT("'SorP'!$A$"&amp;MATCH($J291,SorP!$B$1:$B$6230,0))))</f>
        <v>CN-JX</v>
      </c>
      <c r="U291" s="241"/>
      <c r="V291" s="275">
        <f>IF(C291="",NA(),MATCH($B291&amp;$C291,'Smelter Look-up'!$J:$J,0))</f>
        <v>533</v>
      </c>
      <c r="W291" s="276"/>
      <c r="X291" s="276">
        <f t="shared" ca="1" si="40"/>
        <v>0</v>
      </c>
      <c r="Y291" s="276"/>
      <c r="Z291" s="276"/>
      <c r="AB291" s="278" t="str">
        <f t="shared" si="41"/>
        <v>TungstenJiangxi Xianglu Tungsten Co., Ltd.</v>
      </c>
    </row>
    <row r="292" spans="1:28" s="277" customFormat="1" ht="27.95" customHeight="1">
      <c r="A292" s="216"/>
      <c r="B292" s="217" t="s">
        <v>1156</v>
      </c>
      <c r="C292" s="221" t="s">
        <v>156</v>
      </c>
      <c r="D292" s="283"/>
      <c r="E292" s="217" t="str">
        <f ca="1">IF(ISERROR($V292),"",OFFSET('Smelter Look-up'!$D$4,$V292-4,0)&amp;"")</f>
        <v>CHINA</v>
      </c>
      <c r="F292" s="217" t="str">
        <f ca="1">IF(ISERROR($V292),"",OFFSET('Smelter Look-up'!$E$4,$V292-4,0))</f>
        <v>CID002317</v>
      </c>
      <c r="G292" s="217" t="str">
        <f ca="1">IF(C292=$X$4,"Enter smelter details",IF(ISERROR($V292),"",OFFSET('Smelter Look-up'!$F$4,$V292-4,0)))</f>
        <v>RMI</v>
      </c>
      <c r="H292" s="218">
        <f ca="1">IF(ISERROR($V292),"",OFFSET('Smelter Look-up'!$G$4,$V292-4,0))</f>
        <v>0</v>
      </c>
      <c r="I292" s="219" t="str">
        <f ca="1">IF(ISERROR($V292),"",OFFSET('Smelter Look-up'!$H$4,$V292-4,0))</f>
        <v>Ganzhou</v>
      </c>
      <c r="J292" s="219" t="str">
        <f ca="1">IF(ISERROR($V292),"",OFFSET('Smelter Look-up'!$I$4,$V292-4,0))</f>
        <v>Jiangxi Sheng</v>
      </c>
      <c r="K292" s="273"/>
      <c r="L292" s="273"/>
      <c r="M292" s="273"/>
      <c r="N292" s="273"/>
      <c r="O292" s="273"/>
      <c r="P292" s="220"/>
      <c r="Q292" s="274"/>
      <c r="R292" s="217" t="str">
        <f ca="1">IF(ISERROR($V292),"",OFFSET('Smelter Look-up'!$C$4,$V292-4,0)&amp;"")</f>
        <v>Jiangxi Xinsheng Tungsten Industry Co., Ltd.</v>
      </c>
      <c r="S292" s="225" t="str">
        <f t="shared" ca="1" si="39"/>
        <v>CN</v>
      </c>
      <c r="T292" s="225" t="str">
        <f ca="1">IF(B292="","",IF(ISERROR(MATCH($J292,SorP!$B$1:$B$6230,0)),"",INDIRECT("'SorP'!$A$"&amp;MATCH($J292,SorP!$B$1:$B$6230,0))))</f>
        <v>CN-JX</v>
      </c>
      <c r="U292" s="241"/>
      <c r="V292" s="275">
        <f>IF(C292="",NA(),MATCH($B292&amp;$C292,'Smelter Look-up'!$J:$J,0))</f>
        <v>534</v>
      </c>
      <c r="W292" s="276"/>
      <c r="X292" s="276">
        <f t="shared" ca="1" si="40"/>
        <v>0</v>
      </c>
      <c r="Y292" s="276"/>
      <c r="Z292" s="276"/>
      <c r="AB292" s="278" t="str">
        <f t="shared" si="41"/>
        <v>TungstenJiangxi Xinsheng Tungsten Industry Co., Ltd.</v>
      </c>
    </row>
    <row r="293" spans="1:28" s="277" customFormat="1" ht="27.95" customHeight="1">
      <c r="A293" s="216"/>
      <c r="B293" s="217" t="s">
        <v>1156</v>
      </c>
      <c r="C293" s="221" t="s">
        <v>155</v>
      </c>
      <c r="D293" s="283"/>
      <c r="E293" s="217" t="str">
        <f ca="1">IF(ISERROR($V293),"",OFFSET('Smelter Look-up'!$D$4,$V293-4,0)&amp;"")</f>
        <v>CHINA</v>
      </c>
      <c r="F293" s="217" t="str">
        <f ca="1">IF(ISERROR($V293),"",OFFSET('Smelter Look-up'!$E$4,$V293-4,0))</f>
        <v>CID002316</v>
      </c>
      <c r="G293" s="217" t="str">
        <f ca="1">IF(C293=$X$4,"Enter smelter details",IF(ISERROR($V293),"",OFFSET('Smelter Look-up'!$F$4,$V293-4,0)))</f>
        <v>RMI</v>
      </c>
      <c r="H293" s="218">
        <f ca="1">IF(ISERROR($V293),"",OFFSET('Smelter Look-up'!$G$4,$V293-4,0))</f>
        <v>0</v>
      </c>
      <c r="I293" s="219" t="str">
        <f ca="1">IF(ISERROR($V293),"",OFFSET('Smelter Look-up'!$H$4,$V293-4,0))</f>
        <v>Ganzhou</v>
      </c>
      <c r="J293" s="219" t="str">
        <f ca="1">IF(ISERROR($V293),"",OFFSET('Smelter Look-up'!$I$4,$V293-4,0))</f>
        <v>Jiangxi Sheng</v>
      </c>
      <c r="K293" s="273"/>
      <c r="L293" s="273"/>
      <c r="M293" s="273"/>
      <c r="N293" s="273"/>
      <c r="O293" s="273"/>
      <c r="P293" s="220"/>
      <c r="Q293" s="274"/>
      <c r="R293" s="217" t="str">
        <f ca="1">IF(ISERROR($V293),"",OFFSET('Smelter Look-up'!$C$4,$V293-4,0)&amp;"")</f>
        <v>Jiangxi Yaosheng Tungsten Co., Ltd.</v>
      </c>
      <c r="S293" s="225" t="str">
        <f t="shared" ca="1" si="39"/>
        <v>CN</v>
      </c>
      <c r="T293" s="225" t="str">
        <f ca="1">IF(B293="","",IF(ISERROR(MATCH($J293,SorP!$B$1:$B$6230,0)),"",INDIRECT("'SorP'!$A$"&amp;MATCH($J293,SorP!$B$1:$B$6230,0))))</f>
        <v>CN-JX</v>
      </c>
      <c r="U293" s="241"/>
      <c r="V293" s="275">
        <f>IF(C293="",NA(),MATCH($B293&amp;$C293,'Smelter Look-up'!$J:$J,0))</f>
        <v>535</v>
      </c>
      <c r="W293" s="276"/>
      <c r="X293" s="276">
        <f t="shared" ca="1" si="40"/>
        <v>0</v>
      </c>
      <c r="Y293" s="276"/>
      <c r="Z293" s="276"/>
      <c r="AB293" s="278" t="str">
        <f t="shared" si="41"/>
        <v>TungstenJiangxi Yaosheng Tungsten Co., Ltd.</v>
      </c>
    </row>
    <row r="294" spans="1:28" s="277" customFormat="1" ht="27.95" customHeight="1">
      <c r="A294" s="216"/>
      <c r="B294" s="217" t="s">
        <v>1156</v>
      </c>
      <c r="C294" s="221" t="s">
        <v>14171</v>
      </c>
      <c r="D294" s="283"/>
      <c r="E294" s="217" t="str">
        <f ca="1">IF(ISERROR($V294),"",OFFSET('Smelter Look-up'!$D$4,$V294-4,0)&amp;"")</f>
        <v>RUSSIAN FEDERATION</v>
      </c>
      <c r="F294" s="217" t="str">
        <f ca="1">IF(ISERROR($V294),"",OFFSET('Smelter Look-up'!$E$4,$V294-4,0))</f>
        <v>CID003408</v>
      </c>
      <c r="G294" s="217" t="str">
        <f ca="1">IF(C294=$X$4,"Enter smelter details",IF(ISERROR($V294),"",OFFSET('Smelter Look-up'!$F$4,$V294-4,0)))</f>
        <v>RMI</v>
      </c>
      <c r="H294" s="218">
        <f ca="1">IF(ISERROR($V294),"",OFFSET('Smelter Look-up'!$G$4,$V294-4,0))</f>
        <v>0</v>
      </c>
      <c r="I294" s="219" t="str">
        <f ca="1">IF(ISERROR($V294),"",OFFSET('Smelter Look-up'!$H$4,$V294-4,0))</f>
        <v>Kirovgrad</v>
      </c>
      <c r="J294" s="219" t="str">
        <f ca="1">IF(ISERROR($V294),"",OFFSET('Smelter Look-up'!$I$4,$V294-4,0))</f>
        <v>Sverdlovskaya oblast'</v>
      </c>
      <c r="K294" s="273"/>
      <c r="L294" s="273"/>
      <c r="M294" s="273"/>
      <c r="N294" s="273"/>
      <c r="O294" s="273"/>
      <c r="P294" s="220"/>
      <c r="Q294" s="274"/>
      <c r="R294" s="217" t="str">
        <f ca="1">IF(ISERROR($V294),"",OFFSET('Smelter Look-up'!$C$4,$V294-4,0)&amp;"")</f>
        <v>JSC "Kirovgrad Hard Alloys Plant"</v>
      </c>
      <c r="S294" s="225" t="str">
        <f t="shared" ref="S294:S324" ca="1" si="42">IF(B294="","",IF(ISERROR(MATCH($E294,CL,0)),"Unknown",INDIRECT("'C'!$A$"&amp;MATCH($E294,CL,0)+1)))</f>
        <v>RU</v>
      </c>
      <c r="T294" s="225" t="str">
        <f ca="1">IF(B294="","",IF(ISERROR(MATCH($J294,SorP!$B$1:$B$6230,0)),"",INDIRECT("'SorP'!$A$"&amp;MATCH($J294,SorP!$B$1:$B$6230,0))))</f>
        <v>RU-SVE</v>
      </c>
      <c r="U294" s="241"/>
      <c r="V294" s="275">
        <f>IF(C294="",NA(),MATCH($B294&amp;$C294,'Smelter Look-up'!$J:$J,0))</f>
        <v>536</v>
      </c>
      <c r="W294" s="276"/>
      <c r="X294" s="276">
        <f t="shared" ref="X294:X324" ca="1" si="43">IF(AND(C294="Smelter not listed",OR(LEN(D294)=0,LEN(E294)=0)),1,0)</f>
        <v>0</v>
      </c>
      <c r="Y294" s="276"/>
      <c r="Z294" s="276"/>
      <c r="AB294" s="278" t="str">
        <f t="shared" ref="AB294:AB324" si="44">B294&amp;C294</f>
        <v>TungstenJSC "Kirovgrad Hard Alloys Plant"</v>
      </c>
    </row>
    <row r="295" spans="1:28" s="277" customFormat="1" ht="27.95" customHeight="1">
      <c r="A295" s="216"/>
      <c r="B295" s="217" t="s">
        <v>1156</v>
      </c>
      <c r="C295" s="221" t="s">
        <v>153</v>
      </c>
      <c r="D295" s="283"/>
      <c r="E295" s="217" t="str">
        <f ca="1">IF(ISERROR($V295),"",OFFSET('Smelter Look-up'!$D$4,$V295-4,0)&amp;"")</f>
        <v>UNITED STATES OF AMERICA</v>
      </c>
      <c r="F295" s="217" t="str">
        <f ca="1">IF(ISERROR($V295),"",OFFSET('Smelter Look-up'!$E$4,$V295-4,0))</f>
        <v>CID000966</v>
      </c>
      <c r="G295" s="217" t="str">
        <f ca="1">IF(C295=$X$4,"Enter smelter details",IF(ISERROR($V295),"",OFFSET('Smelter Look-up'!$F$4,$V295-4,0)))</f>
        <v>RMI</v>
      </c>
      <c r="H295" s="218">
        <f ca="1">IF(ISERROR($V295),"",OFFSET('Smelter Look-up'!$G$4,$V295-4,0))</f>
        <v>0</v>
      </c>
      <c r="I295" s="219" t="str">
        <f ca="1">IF(ISERROR($V295),"",OFFSET('Smelter Look-up'!$H$4,$V295-4,0))</f>
        <v>Fallon</v>
      </c>
      <c r="J295" s="219" t="str">
        <f ca="1">IF(ISERROR($V295),"",OFFSET('Smelter Look-up'!$I$4,$V295-4,0))</f>
        <v>Nevada</v>
      </c>
      <c r="K295" s="273"/>
      <c r="L295" s="273"/>
      <c r="M295" s="273"/>
      <c r="N295" s="273"/>
      <c r="O295" s="273"/>
      <c r="P295" s="220"/>
      <c r="Q295" s="274"/>
      <c r="R295" s="217" t="str">
        <f ca="1">IF(ISERROR($V295),"",OFFSET('Smelter Look-up'!$C$4,$V295-4,0)&amp;"")</f>
        <v>Kennametal Fallon</v>
      </c>
      <c r="S295" s="225" t="str">
        <f t="shared" ca="1" si="42"/>
        <v>US</v>
      </c>
      <c r="T295" s="225" t="str">
        <f ca="1">IF(B295="","",IF(ISERROR(MATCH($J295,SorP!$B$1:$B$6230,0)),"",INDIRECT("'SorP'!$A$"&amp;MATCH($J295,SorP!$B$1:$B$6230,0))))</f>
        <v>US-NV</v>
      </c>
      <c r="U295" s="241"/>
      <c r="V295" s="275">
        <f>IF(C295="",NA(),MATCH($B295&amp;$C295,'Smelter Look-up'!$J:$J,0))</f>
        <v>537</v>
      </c>
      <c r="W295" s="276"/>
      <c r="X295" s="276">
        <f t="shared" ca="1" si="43"/>
        <v>0</v>
      </c>
      <c r="Y295" s="276"/>
      <c r="Z295" s="276"/>
      <c r="AB295" s="278" t="str">
        <f t="shared" si="44"/>
        <v>TungstenKennametal Fallon</v>
      </c>
    </row>
    <row r="296" spans="1:28" s="277" customFormat="1" ht="27.95" customHeight="1">
      <c r="A296" s="216"/>
      <c r="B296" s="217" t="s">
        <v>1156</v>
      </c>
      <c r="C296" s="221" t="s">
        <v>151</v>
      </c>
      <c r="D296" s="283"/>
      <c r="E296" s="217" t="str">
        <f ca="1">IF(ISERROR($V296),"",OFFSET('Smelter Look-up'!$D$4,$V296-4,0)&amp;"")</f>
        <v>UNITED STATES OF AMERICA</v>
      </c>
      <c r="F296" s="217" t="str">
        <f ca="1">IF(ISERROR($V296),"",OFFSET('Smelter Look-up'!$E$4,$V296-4,0))</f>
        <v>CID000105</v>
      </c>
      <c r="G296" s="217" t="str">
        <f ca="1">IF(C296=$X$4,"Enter smelter details",IF(ISERROR($V296),"",OFFSET('Smelter Look-up'!$F$4,$V296-4,0)))</f>
        <v>RMI</v>
      </c>
      <c r="H296" s="218">
        <f ca="1">IF(ISERROR($V296),"",OFFSET('Smelter Look-up'!$G$4,$V296-4,0))</f>
        <v>0</v>
      </c>
      <c r="I296" s="219" t="str">
        <f ca="1">IF(ISERROR($V296),"",OFFSET('Smelter Look-up'!$H$4,$V296-4,0))</f>
        <v>Huntsville</v>
      </c>
      <c r="J296" s="219" t="str">
        <f ca="1">IF(ISERROR($V296),"",OFFSET('Smelter Look-up'!$I$4,$V296-4,0))</f>
        <v>Alabama</v>
      </c>
      <c r="K296" s="273"/>
      <c r="L296" s="273"/>
      <c r="M296" s="273"/>
      <c r="N296" s="273"/>
      <c r="O296" s="273"/>
      <c r="P296" s="220"/>
      <c r="Q296" s="274"/>
      <c r="R296" s="217" t="str">
        <f ca="1">IF(ISERROR($V296),"",OFFSET('Smelter Look-up'!$C$4,$V296-4,0)&amp;"")</f>
        <v>Kennametal Huntsville</v>
      </c>
      <c r="S296" s="225" t="str">
        <f t="shared" ca="1" si="42"/>
        <v>US</v>
      </c>
      <c r="T296" s="225" t="str">
        <f ca="1">IF(B296="","",IF(ISERROR(MATCH($J296,SorP!$B$1:$B$6230,0)),"",INDIRECT("'SorP'!$A$"&amp;MATCH($J296,SorP!$B$1:$B$6230,0))))</f>
        <v>US-AL</v>
      </c>
      <c r="U296" s="241"/>
      <c r="V296" s="275">
        <f>IF(C296="",NA(),MATCH($B296&amp;$C296,'Smelter Look-up'!$J:$J,0))</f>
        <v>538</v>
      </c>
      <c r="W296" s="276"/>
      <c r="X296" s="276">
        <f t="shared" ca="1" si="43"/>
        <v>0</v>
      </c>
      <c r="Y296" s="276"/>
      <c r="Z296" s="276"/>
      <c r="AB296" s="278" t="str">
        <f t="shared" si="44"/>
        <v>TungstenKennametal Huntsville</v>
      </c>
    </row>
    <row r="297" spans="1:28" s="277" customFormat="1" ht="27.95" customHeight="1">
      <c r="A297" s="216"/>
      <c r="B297" s="217" t="s">
        <v>1156</v>
      </c>
      <c r="C297" s="221" t="s">
        <v>14173</v>
      </c>
      <c r="D297" s="283"/>
      <c r="E297" s="217" t="str">
        <f ca="1">IF(ISERROR($V297),"",OFFSET('Smelter Look-up'!$D$4,$V297-4,0)&amp;"")</f>
        <v>KOREA, REPUBLIC OF</v>
      </c>
      <c r="F297" s="217" t="str">
        <f ca="1">IF(ISERROR($V297),"",OFFSET('Smelter Look-up'!$E$4,$V297-4,0))</f>
        <v>CID003388</v>
      </c>
      <c r="G297" s="217" t="str">
        <f ca="1">IF(C297=$X$4,"Enter smelter details",IF(ISERROR($V297),"",OFFSET('Smelter Look-up'!$F$4,$V297-4,0)))</f>
        <v>RMI</v>
      </c>
      <c r="H297" s="218">
        <f ca="1">IF(ISERROR($V297),"",OFFSET('Smelter Look-up'!$G$4,$V297-4,0))</f>
        <v>0</v>
      </c>
      <c r="I297" s="219" t="str">
        <f ca="1">IF(ISERROR($V297),"",OFFSET('Smelter Look-up'!$H$4,$V297-4,0))</f>
        <v>Siheung-si</v>
      </c>
      <c r="J297" s="219" t="str">
        <f ca="1">IF(ISERROR($V297),"",OFFSET('Smelter Look-up'!$I$4,$V297-4,0))</f>
        <v>Gyeonggi-do</v>
      </c>
      <c r="K297" s="273"/>
      <c r="L297" s="273"/>
      <c r="M297" s="273"/>
      <c r="N297" s="273"/>
      <c r="O297" s="273"/>
      <c r="P297" s="220"/>
      <c r="Q297" s="274"/>
      <c r="R297" s="217" t="str">
        <f ca="1">IF(ISERROR($V297),"",OFFSET('Smelter Look-up'!$C$4,$V297-4,0)&amp;"")</f>
        <v>KGETS Co., Ltd.</v>
      </c>
      <c r="S297" s="225" t="str">
        <f t="shared" ca="1" si="42"/>
        <v>KR</v>
      </c>
      <c r="T297" s="225" t="str">
        <f ca="1">IF(B297="","",IF(ISERROR(MATCH($J297,SorP!$B$1:$B$6230,0)),"",INDIRECT("'SorP'!$A$"&amp;MATCH($J297,SorP!$B$1:$B$6230,0))))</f>
        <v>KR-41</v>
      </c>
      <c r="U297" s="241"/>
      <c r="V297" s="275">
        <f>IF(C297="",NA(),MATCH($B297&amp;$C297,'Smelter Look-up'!$J:$J,0))</f>
        <v>539</v>
      </c>
      <c r="W297" s="276"/>
      <c r="X297" s="276">
        <f t="shared" ca="1" si="43"/>
        <v>0</v>
      </c>
      <c r="Y297" s="276"/>
      <c r="Z297" s="276"/>
      <c r="AB297" s="278" t="str">
        <f t="shared" si="44"/>
        <v>TungstenKGETS Co., Ltd.</v>
      </c>
    </row>
    <row r="298" spans="1:28" s="277" customFormat="1" ht="27.95" customHeight="1">
      <c r="A298" s="216"/>
      <c r="B298" s="217" t="s">
        <v>1156</v>
      </c>
      <c r="C298" s="221" t="s">
        <v>14175</v>
      </c>
      <c r="D298" s="283"/>
      <c r="E298" s="217" t="str">
        <f ca="1">IF(ISERROR($V298),"",OFFSET('Smelter Look-up'!$D$4,$V298-4,0)&amp;"")</f>
        <v>TAIWAN, PROVINCE OF CHINA</v>
      </c>
      <c r="F298" s="217" t="str">
        <f ca="1">IF(ISERROR($V298),"",OFFSET('Smelter Look-up'!$E$4,$V298-4,0))</f>
        <v>CID003407</v>
      </c>
      <c r="G298" s="217" t="str">
        <f ca="1">IF(C298=$X$4,"Enter smelter details",IF(ISERROR($V298),"",OFFSET('Smelter Look-up'!$F$4,$V298-4,0)))</f>
        <v>RMI</v>
      </c>
      <c r="H298" s="218">
        <f ca="1">IF(ISERROR($V298),"",OFFSET('Smelter Look-up'!$G$4,$V298-4,0))</f>
        <v>0</v>
      </c>
      <c r="I298" s="219" t="str">
        <f ca="1">IF(ISERROR($V298),"",OFFSET('Smelter Look-up'!$H$4,$V298-4,0))</f>
        <v>Fangliao</v>
      </c>
      <c r="J298" s="219" t="str">
        <f ca="1">IF(ISERROR($V298),"",OFFSET('Smelter Look-up'!$I$4,$V298-4,0))</f>
        <v>Pingtung</v>
      </c>
      <c r="K298" s="273"/>
      <c r="L298" s="273"/>
      <c r="M298" s="273"/>
      <c r="N298" s="273"/>
      <c r="O298" s="273"/>
      <c r="P298" s="220"/>
      <c r="Q298" s="274"/>
      <c r="R298" s="217" t="str">
        <f ca="1">IF(ISERROR($V298),"",OFFSET('Smelter Look-up'!$C$4,$V298-4,0)&amp;"")</f>
        <v>Lianyou Metals Co., Ltd.</v>
      </c>
      <c r="S298" s="225" t="str">
        <f t="shared" ca="1" si="42"/>
        <v>TW</v>
      </c>
      <c r="T298" s="225" t="str">
        <f ca="1">IF(B298="","",IF(ISERROR(MATCH($J298,SorP!$B$1:$B$6230,0)),"",INDIRECT("'SorP'!$A$"&amp;MATCH($J298,SorP!$B$1:$B$6230,0))))</f>
        <v>TW-PIF</v>
      </c>
      <c r="U298" s="241"/>
      <c r="V298" s="275">
        <f>IF(C298="",NA(),MATCH($B298&amp;$C298,'Smelter Look-up'!$J:$J,0))</f>
        <v>540</v>
      </c>
      <c r="W298" s="276"/>
      <c r="X298" s="276">
        <f t="shared" ca="1" si="43"/>
        <v>0</v>
      </c>
      <c r="Y298" s="276"/>
      <c r="Z298" s="276"/>
      <c r="AB298" s="278" t="str">
        <f t="shared" si="44"/>
        <v>TungstenLianyou Metals Co., Ltd.</v>
      </c>
    </row>
    <row r="299" spans="1:28" s="277" customFormat="1" ht="27.95" customHeight="1">
      <c r="A299" s="216"/>
      <c r="B299" s="217" t="s">
        <v>1156</v>
      </c>
      <c r="C299" s="221" t="s">
        <v>158</v>
      </c>
      <c r="D299" s="283"/>
      <c r="E299" s="217" t="str">
        <f ca="1">IF(ISERROR($V299),"",OFFSET('Smelter Look-up'!$D$4,$V299-4,0)&amp;"")</f>
        <v>CHINA</v>
      </c>
      <c r="F299" s="217" t="str">
        <f ca="1">IF(ISERROR($V299),"",OFFSET('Smelter Look-up'!$E$4,$V299-4,0))</f>
        <v>CID002319</v>
      </c>
      <c r="G299" s="217" t="str">
        <f ca="1">IF(C299=$X$4,"Enter smelter details",IF(ISERROR($V299),"",OFFSET('Smelter Look-up'!$F$4,$V299-4,0)))</f>
        <v>RMI</v>
      </c>
      <c r="H299" s="218">
        <f ca="1">IF(ISERROR($V299),"",OFFSET('Smelter Look-up'!$G$4,$V299-4,0))</f>
        <v>0</v>
      </c>
      <c r="I299" s="219" t="str">
        <f ca="1">IF(ISERROR($V299),"",OFFSET('Smelter Look-up'!$H$4,$V299-4,0))</f>
        <v>Nanfeng Xiaozhai</v>
      </c>
      <c r="J299" s="219" t="str">
        <f ca="1">IF(ISERROR($V299),"",OFFSET('Smelter Look-up'!$I$4,$V299-4,0))</f>
        <v>Yunnan Sheng</v>
      </c>
      <c r="K299" s="273"/>
      <c r="L299" s="273"/>
      <c r="M299" s="273"/>
      <c r="N299" s="273"/>
      <c r="O299" s="273"/>
      <c r="P299" s="220"/>
      <c r="Q299" s="274"/>
      <c r="R299" s="217" t="str">
        <f ca="1">IF(ISERROR($V299),"",OFFSET('Smelter Look-up'!$C$4,$V299-4,0)&amp;"")</f>
        <v>Malipo Haiyu Tungsten Co., Ltd.</v>
      </c>
      <c r="S299" s="225" t="str">
        <f t="shared" ca="1" si="42"/>
        <v>CN</v>
      </c>
      <c r="T299" s="225" t="str">
        <f ca="1">IF(B299="","",IF(ISERROR(MATCH($J299,SorP!$B$1:$B$6230,0)),"",INDIRECT("'SorP'!$A$"&amp;MATCH($J299,SorP!$B$1:$B$6230,0))))</f>
        <v>CN-YN</v>
      </c>
      <c r="U299" s="241"/>
      <c r="V299" s="275">
        <f>IF(C299="",NA(),MATCH($B299&amp;$C299,'Smelter Look-up'!$J:$J,0))</f>
        <v>541</v>
      </c>
      <c r="W299" s="276"/>
      <c r="X299" s="276">
        <f t="shared" ca="1" si="43"/>
        <v>0</v>
      </c>
      <c r="Y299" s="276"/>
      <c r="Z299" s="276"/>
      <c r="AB299" s="278" t="str">
        <f t="shared" si="44"/>
        <v>TungstenMalipo Haiyu Tungsten Co., Ltd.</v>
      </c>
    </row>
    <row r="300" spans="1:28" s="277" customFormat="1" ht="27.95" customHeight="1">
      <c r="A300" s="216"/>
      <c r="B300" s="217" t="s">
        <v>1156</v>
      </c>
      <c r="C300" s="221" t="s">
        <v>14177</v>
      </c>
      <c r="D300" s="283"/>
      <c r="E300" s="217" t="str">
        <f ca="1">IF(ISERROR($V300),"",OFFSET('Smelter Look-up'!$D$4,$V300-4,0)&amp;"")</f>
        <v>VIET NAM</v>
      </c>
      <c r="F300" s="217" t="str">
        <f ca="1">IF(ISERROR($V300),"",OFFSET('Smelter Look-up'!$E$4,$V300-4,0))</f>
        <v>CID002543</v>
      </c>
      <c r="G300" s="217" t="str">
        <f ca="1">IF(C300=$X$4,"Enter smelter details",IF(ISERROR($V300),"",OFFSET('Smelter Look-up'!$F$4,$V300-4,0)))</f>
        <v>RMI</v>
      </c>
      <c r="H300" s="218">
        <f ca="1">IF(ISERROR($V300),"",OFFSET('Smelter Look-up'!$G$4,$V300-4,0))</f>
        <v>0</v>
      </c>
      <c r="I300" s="219" t="str">
        <f ca="1">IF(ISERROR($V300),"",OFFSET('Smelter Look-up'!$H$4,$V300-4,0))</f>
        <v>Dai Tu</v>
      </c>
      <c r="J300" s="219" t="str">
        <f ca="1">IF(ISERROR($V300),"",OFFSET('Smelter Look-up'!$I$4,$V300-4,0))</f>
        <v>Thái Nguyên</v>
      </c>
      <c r="K300" s="273"/>
      <c r="L300" s="273"/>
      <c r="M300" s="273"/>
      <c r="N300" s="273"/>
      <c r="O300" s="273"/>
      <c r="P300" s="220"/>
      <c r="Q300" s="274"/>
      <c r="R300" s="217" t="str">
        <f ca="1">IF(ISERROR($V300),"",OFFSET('Smelter Look-up'!$C$4,$V300-4,0)&amp;"")</f>
        <v>Masan Tungsten Chemical LLC (MTC)</v>
      </c>
      <c r="S300" s="225" t="str">
        <f t="shared" ca="1" si="42"/>
        <v>VN</v>
      </c>
      <c r="T300" s="225" t="str">
        <f ca="1">IF(B300="","",IF(ISERROR(MATCH($J300,SorP!$B$1:$B$6230,0)),"",INDIRECT("'SorP'!$A$"&amp;MATCH($J300,SorP!$B$1:$B$6230,0))))</f>
        <v>VN-69</v>
      </c>
      <c r="U300" s="241"/>
      <c r="V300" s="275">
        <f>IF(C300="",NA(),MATCH($B300&amp;$C300,'Smelter Look-up'!$J:$J,0))</f>
        <v>542</v>
      </c>
      <c r="W300" s="276"/>
      <c r="X300" s="276">
        <f t="shared" ca="1" si="43"/>
        <v>0</v>
      </c>
      <c r="Y300" s="276"/>
      <c r="Z300" s="276"/>
      <c r="AB300" s="278" t="str">
        <f t="shared" si="44"/>
        <v>TungstenMasan Tungsten Chemical LLC (MTC)</v>
      </c>
    </row>
    <row r="301" spans="1:28" s="277" customFormat="1" ht="27.95" customHeight="1">
      <c r="A301" s="216"/>
      <c r="B301" s="217" t="s">
        <v>1156</v>
      </c>
      <c r="C301" s="221" t="s">
        <v>2688</v>
      </c>
      <c r="D301" s="283"/>
      <c r="E301" s="217" t="str">
        <f ca="1">IF(ISERROR($V301),"",OFFSET('Smelter Look-up'!$D$4,$V301-4,0)&amp;"")</f>
        <v>RUSSIAN FEDERATION</v>
      </c>
      <c r="F301" s="217" t="str">
        <f ca="1">IF(ISERROR($V301),"",OFFSET('Smelter Look-up'!$E$4,$V301-4,0))</f>
        <v>CID002845</v>
      </c>
      <c r="G301" s="217" t="str">
        <f ca="1">IF(C301=$X$4,"Enter smelter details",IF(ISERROR($V301),"",OFFSET('Smelter Look-up'!$F$4,$V301-4,0)))</f>
        <v>RMI</v>
      </c>
      <c r="H301" s="218">
        <f ca="1">IF(ISERROR($V301),"",OFFSET('Smelter Look-up'!$G$4,$V301-4,0))</f>
        <v>0</v>
      </c>
      <c r="I301" s="219" t="str">
        <f ca="1">IF(ISERROR($V301),"",OFFSET('Smelter Look-up'!$H$4,$V301-4,0))</f>
        <v>Roshal</v>
      </c>
      <c r="J301" s="219" t="str">
        <f ca="1">IF(ISERROR($V301),"",OFFSET('Smelter Look-up'!$I$4,$V301-4,0))</f>
        <v>Moskovskaja oblast'</v>
      </c>
      <c r="K301" s="273"/>
      <c r="L301" s="273"/>
      <c r="M301" s="273"/>
      <c r="N301" s="273"/>
      <c r="O301" s="273"/>
      <c r="P301" s="220"/>
      <c r="Q301" s="274"/>
      <c r="R301" s="217" t="str">
        <f ca="1">IF(ISERROR($V301),"",OFFSET('Smelter Look-up'!$C$4,$V301-4,0)&amp;"")</f>
        <v>Moliren Ltd.</v>
      </c>
      <c r="S301" s="225" t="str">
        <f t="shared" ca="1" si="42"/>
        <v>RU</v>
      </c>
      <c r="T301" s="225" t="str">
        <f ca="1">IF(B301="","",IF(ISERROR(MATCH($J301,SorP!$B$1:$B$6230,0)),"",INDIRECT("'SorP'!$A$"&amp;MATCH($J301,SorP!$B$1:$B$6230,0))))</f>
        <v>RU-MOS</v>
      </c>
      <c r="U301" s="241"/>
      <c r="V301" s="275">
        <f>IF(C301="",NA(),MATCH($B301&amp;$C301,'Smelter Look-up'!$J:$J,0))</f>
        <v>543</v>
      </c>
      <c r="W301" s="276"/>
      <c r="X301" s="276">
        <f t="shared" ca="1" si="43"/>
        <v>0</v>
      </c>
      <c r="Y301" s="276"/>
      <c r="Z301" s="276"/>
      <c r="AB301" s="278" t="str">
        <f t="shared" si="44"/>
        <v>TungstenMoliren Ltd.</v>
      </c>
    </row>
    <row r="302" spans="1:28" s="277" customFormat="1" ht="27.95" customHeight="1">
      <c r="A302" s="216"/>
      <c r="B302" s="217" t="s">
        <v>1156</v>
      </c>
      <c r="C302" s="221" t="s">
        <v>1888</v>
      </c>
      <c r="D302" s="283"/>
      <c r="E302" s="217" t="str">
        <f ca="1">IF(ISERROR($V302),"",OFFSET('Smelter Look-up'!$D$4,$V302-4,0)&amp;"")</f>
        <v>UNITED STATES OF AMERICA</v>
      </c>
      <c r="F302" s="217" t="str">
        <f ca="1">IF(ISERROR($V302),"",OFFSET('Smelter Look-up'!$E$4,$V302-4,0))</f>
        <v>CID002589</v>
      </c>
      <c r="G302" s="217" t="str">
        <f ca="1">IF(C302=$X$4,"Enter smelter details",IF(ISERROR($V302),"",OFFSET('Smelter Look-up'!$F$4,$V302-4,0)))</f>
        <v>RMI</v>
      </c>
      <c r="H302" s="218">
        <f ca="1">IF(ISERROR($V302),"",OFFSET('Smelter Look-up'!$G$4,$V302-4,0))</f>
        <v>0</v>
      </c>
      <c r="I302" s="219" t="str">
        <f ca="1">IF(ISERROR($V302),"",OFFSET('Smelter Look-up'!$H$4,$V302-4,0))</f>
        <v>Depew</v>
      </c>
      <c r="J302" s="219" t="str">
        <f ca="1">IF(ISERROR($V302),"",OFFSET('Smelter Look-up'!$I$4,$V302-4,0))</f>
        <v>New York</v>
      </c>
      <c r="K302" s="273"/>
      <c r="L302" s="273"/>
      <c r="M302" s="273"/>
      <c r="N302" s="273"/>
      <c r="O302" s="273"/>
      <c r="P302" s="220"/>
      <c r="Q302" s="274"/>
      <c r="R302" s="217" t="str">
        <f ca="1">IF(ISERROR($V302),"",OFFSET('Smelter Look-up'!$C$4,$V302-4,0)&amp;"")</f>
        <v>Niagara Refining LLC</v>
      </c>
      <c r="S302" s="225" t="str">
        <f t="shared" ca="1" si="42"/>
        <v>US</v>
      </c>
      <c r="T302" s="225" t="str">
        <f ca="1">IF(B302="","",IF(ISERROR(MATCH($J302,SorP!$B$1:$B$6230,0)),"",INDIRECT("'SorP'!$A$"&amp;MATCH($J302,SorP!$B$1:$B$6230,0))))</f>
        <v>US-NY</v>
      </c>
      <c r="U302" s="241"/>
      <c r="V302" s="275">
        <f>IF(C302="",NA(),MATCH($B302&amp;$C302,'Smelter Look-up'!$J:$J,0))</f>
        <v>544</v>
      </c>
      <c r="W302" s="276"/>
      <c r="X302" s="276">
        <f t="shared" ca="1" si="43"/>
        <v>0</v>
      </c>
      <c r="Y302" s="276"/>
      <c r="Z302" s="276"/>
      <c r="AB302" s="278" t="str">
        <f t="shared" si="44"/>
        <v>TungstenNiagara Refining LLC</v>
      </c>
    </row>
    <row r="303" spans="1:28" s="277" customFormat="1" ht="27.95" customHeight="1">
      <c r="A303" s="216"/>
      <c r="B303" s="217" t="s">
        <v>1156</v>
      </c>
      <c r="C303" s="221" t="s">
        <v>14230</v>
      </c>
      <c r="D303" s="283"/>
      <c r="E303" s="217" t="str">
        <f ca="1">IF(ISERROR($V303),"",OFFSET('Smelter Look-up'!$D$4,$V303-4,0)&amp;"")</f>
        <v>RUSSIAN FEDERATION</v>
      </c>
      <c r="F303" s="217" t="str">
        <f ca="1">IF(ISERROR($V303),"",OFFSET('Smelter Look-up'!$E$4,$V303-4,0))</f>
        <v>CID003416</v>
      </c>
      <c r="G303" s="217" t="str">
        <f ca="1">IF(C303=$X$4,"Enter smelter details",IF(ISERROR($V303),"",OFFSET('Smelter Look-up'!$F$4,$V303-4,0)))</f>
        <v>RMI</v>
      </c>
      <c r="H303" s="218">
        <f ca="1">IF(ISERROR($V303),"",OFFSET('Smelter Look-up'!$G$4,$V303-4,0))</f>
        <v>0</v>
      </c>
      <c r="I303" s="219" t="str">
        <f ca="1">IF(ISERROR($V303),"",OFFSET('Smelter Look-up'!$H$4,$V303-4,0))</f>
        <v>Kopeysk</v>
      </c>
      <c r="J303" s="219" t="str">
        <f ca="1">IF(ISERROR($V303),"",OFFSET('Smelter Look-up'!$I$4,$V303-4,0))</f>
        <v>Chelyabinskaya Oblast'</v>
      </c>
      <c r="K303" s="273"/>
      <c r="L303" s="273"/>
      <c r="M303" s="273"/>
      <c r="N303" s="273"/>
      <c r="O303" s="273"/>
      <c r="P303" s="220"/>
      <c r="Q303" s="274"/>
      <c r="R303" s="217" t="str">
        <f ca="1">IF(ISERROR($V303),"",OFFSET('Smelter Look-up'!$C$4,$V303-4,0)&amp;"")</f>
        <v>NPP Tyazhmetprom LLC</v>
      </c>
      <c r="S303" s="225" t="str">
        <f t="shared" ca="1" si="42"/>
        <v>RU</v>
      </c>
      <c r="T303" s="225" t="str">
        <f ca="1">IF(B303="","",IF(ISERROR(MATCH($J303,SorP!$B$1:$B$6230,0)),"",INDIRECT("'SorP'!$A$"&amp;MATCH($J303,SorP!$B$1:$B$6230,0))))</f>
        <v>RU-CHE</v>
      </c>
      <c r="U303" s="241"/>
      <c r="V303" s="275">
        <f>IF(C303="",NA(),MATCH($B303&amp;$C303,'Smelter Look-up'!$J:$J,0))</f>
        <v>545</v>
      </c>
      <c r="W303" s="276"/>
      <c r="X303" s="276">
        <f t="shared" ca="1" si="43"/>
        <v>0</v>
      </c>
      <c r="Y303" s="276"/>
      <c r="Z303" s="276"/>
      <c r="AB303" s="278" t="str">
        <f t="shared" si="44"/>
        <v>TungstenNPP Tyazhmetprom LLC</v>
      </c>
    </row>
    <row r="304" spans="1:28" s="277" customFormat="1" ht="27.95" customHeight="1">
      <c r="A304" s="216"/>
      <c r="B304" s="217" t="s">
        <v>1156</v>
      </c>
      <c r="C304" s="221" t="s">
        <v>2473</v>
      </c>
      <c r="D304" s="283"/>
      <c r="E304" s="217" t="str">
        <f ca="1">IF(ISERROR($V304),"",OFFSET('Smelter Look-up'!$D$4,$V304-4,0)&amp;"")</f>
        <v>PHILIPPINES</v>
      </c>
      <c r="F304" s="217" t="str">
        <f ca="1">IF(ISERROR($V304),"",OFFSET('Smelter Look-up'!$E$4,$V304-4,0))</f>
        <v>CID002827</v>
      </c>
      <c r="G304" s="217" t="str">
        <f ca="1">IF(C304=$X$4,"Enter smelter details",IF(ISERROR($V304),"",OFFSET('Smelter Look-up'!$F$4,$V304-4,0)))</f>
        <v>RMI</v>
      </c>
      <c r="H304" s="218">
        <f ca="1">IF(ISERROR($V304),"",OFFSET('Smelter Look-up'!$G$4,$V304-4,0))</f>
        <v>0</v>
      </c>
      <c r="I304" s="219" t="str">
        <f ca="1">IF(ISERROR($V304),"",OFFSET('Smelter Look-up'!$H$4,$V304-4,0))</f>
        <v>Marilao</v>
      </c>
      <c r="J304" s="219" t="str">
        <f ca="1">IF(ISERROR($V304),"",OFFSET('Smelter Look-up'!$I$4,$V304-4,0))</f>
        <v>Bulacan</v>
      </c>
      <c r="K304" s="273"/>
      <c r="L304" s="273"/>
      <c r="M304" s="273"/>
      <c r="N304" s="273"/>
      <c r="O304" s="273"/>
      <c r="P304" s="220"/>
      <c r="Q304" s="274"/>
      <c r="R304" s="217" t="str">
        <f ca="1">IF(ISERROR($V304),"",OFFSET('Smelter Look-up'!$C$4,$V304-4,0)&amp;"")</f>
        <v>Philippine Chuangxin Industrial Co., Inc.</v>
      </c>
      <c r="S304" s="225" t="str">
        <f t="shared" ca="1" si="42"/>
        <v>PH</v>
      </c>
      <c r="T304" s="225" t="str">
        <f ca="1">IF(B304="","",IF(ISERROR(MATCH($J304,SorP!$B$1:$B$6230,0)),"",INDIRECT("'SorP'!$A$"&amp;MATCH($J304,SorP!$B$1:$B$6230,0))))</f>
        <v>PH-BUL</v>
      </c>
      <c r="U304" s="241"/>
      <c r="V304" s="275">
        <f>IF(C304="",NA(),MATCH($B304&amp;$C304,'Smelter Look-up'!$J:$J,0))</f>
        <v>547</v>
      </c>
      <c r="W304" s="276"/>
      <c r="X304" s="276">
        <f t="shared" ca="1" si="43"/>
        <v>0</v>
      </c>
      <c r="Y304" s="276"/>
      <c r="Z304" s="276"/>
      <c r="AB304" s="278" t="str">
        <f t="shared" si="44"/>
        <v>TungstenPhilippine Chuangxin Industrial Co., Inc.</v>
      </c>
    </row>
    <row r="305" spans="1:28" s="277" customFormat="1" ht="27.95" customHeight="1">
      <c r="A305" s="216"/>
      <c r="B305" s="217" t="s">
        <v>1156</v>
      </c>
      <c r="C305" s="221" t="s">
        <v>2</v>
      </c>
      <c r="D305" s="283"/>
      <c r="E305" s="217" t="str">
        <f ca="1">IF(ISERROR($V305),"",OFFSET('Smelter Look-up'!$D$4,$V305-4,0)&amp;"")</f>
        <v>VIET NAM</v>
      </c>
      <c r="F305" s="217" t="str">
        <f ca="1">IF(ISERROR($V305),"",OFFSET('Smelter Look-up'!$E$4,$V305-4,0))</f>
        <v>CID001889</v>
      </c>
      <c r="G305" s="217" t="str">
        <f ca="1">IF(C305=$X$4,"Enter smelter details",IF(ISERROR($V305),"",OFFSET('Smelter Look-up'!$F$4,$V305-4,0)))</f>
        <v>RMI</v>
      </c>
      <c r="H305" s="218">
        <f ca="1">IF(ISERROR($V305),"",OFFSET('Smelter Look-up'!$G$4,$V305-4,0))</f>
        <v>0</v>
      </c>
      <c r="I305" s="219" t="str">
        <f ca="1">IF(ISERROR($V305),"",OFFSET('Smelter Look-up'!$H$4,$V305-4,0))</f>
        <v>Halong City</v>
      </c>
      <c r="J305" s="219" t="str">
        <f ca="1">IF(ISERROR($V305),"",OFFSET('Smelter Look-up'!$I$4,$V305-4,0))</f>
        <v>Tây Ninh</v>
      </c>
      <c r="K305" s="273"/>
      <c r="L305" s="273"/>
      <c r="M305" s="273"/>
      <c r="N305" s="273"/>
      <c r="O305" s="273"/>
      <c r="P305" s="220"/>
      <c r="Q305" s="274"/>
      <c r="R305" s="217" t="str">
        <f ca="1">IF(ISERROR($V305),"",OFFSET('Smelter Look-up'!$C$4,$V305-4,0)&amp;"")</f>
        <v>Tejing (Vietnam) Tungsten Co., Ltd.</v>
      </c>
      <c r="S305" s="225" t="str">
        <f t="shared" ca="1" si="42"/>
        <v>VN</v>
      </c>
      <c r="T305" s="225" t="str">
        <f ca="1">IF(B305="","",IF(ISERROR(MATCH($J305,SorP!$B$1:$B$6230,0)),"",INDIRECT("'SorP'!$A$"&amp;MATCH($J305,SorP!$B$1:$B$6230,0))))</f>
        <v>VN-37</v>
      </c>
      <c r="U305" s="241"/>
      <c r="V305" s="275">
        <f>IF(C305="",NA(),MATCH($B305&amp;$C305,'Smelter Look-up'!$J:$J,0))</f>
        <v>549</v>
      </c>
      <c r="W305" s="276"/>
      <c r="X305" s="276">
        <f t="shared" ca="1" si="43"/>
        <v>0</v>
      </c>
      <c r="Y305" s="276"/>
      <c r="Z305" s="276"/>
      <c r="AB305" s="278" t="str">
        <f t="shared" si="44"/>
        <v>TungstenTejing (Vietnam) Tungsten Co., Ltd.</v>
      </c>
    </row>
    <row r="306" spans="1:28" s="277" customFormat="1" ht="27.95" customHeight="1">
      <c r="A306" s="216"/>
      <c r="B306" s="217" t="s">
        <v>1156</v>
      </c>
      <c r="C306" s="221" t="s">
        <v>15515</v>
      </c>
      <c r="D306" s="283"/>
      <c r="E306" s="217" t="str">
        <f ca="1">IF(ISERROR($V306),"",OFFSET('Smelter Look-up'!$D$4,$V306-4,0)&amp;"")</f>
        <v>RUSSIAN FEDERATION</v>
      </c>
      <c r="F306" s="217" t="str">
        <f ca="1">IF(ISERROR($V306),"",OFFSET('Smelter Look-up'!$E$4,$V306-4,0))</f>
        <v>CID002724</v>
      </c>
      <c r="G306" s="217" t="str">
        <f ca="1">IF(C306=$X$4,"Enter smelter details",IF(ISERROR($V306),"",OFFSET('Smelter Look-up'!$F$4,$V306-4,0)))</f>
        <v>RMI</v>
      </c>
      <c r="H306" s="218">
        <f ca="1">IF(ISERROR($V306),"",OFFSET('Smelter Look-up'!$G$4,$V306-4,0))</f>
        <v>0</v>
      </c>
      <c r="I306" s="219" t="str">
        <f ca="1">IF(ISERROR($V306),"",OFFSET('Smelter Look-up'!$H$4,$V306-4,0))</f>
        <v>Unecha</v>
      </c>
      <c r="J306" s="219" t="str">
        <f ca="1">IF(ISERROR($V306),"",OFFSET('Smelter Look-up'!$I$4,$V306-4,0))</f>
        <v>Bryanskaya oblast'</v>
      </c>
      <c r="K306" s="273"/>
      <c r="L306" s="273"/>
      <c r="M306" s="273"/>
      <c r="N306" s="273"/>
      <c r="O306" s="273"/>
      <c r="P306" s="220"/>
      <c r="Q306" s="274"/>
      <c r="R306" s="217" t="str">
        <f ca="1">IF(ISERROR($V306),"",OFFSET('Smelter Look-up'!$C$4,$V306-4,0)&amp;"")</f>
        <v>Unecha Refractory metals plant</v>
      </c>
      <c r="S306" s="225" t="str">
        <f t="shared" ca="1" si="42"/>
        <v>RU</v>
      </c>
      <c r="T306" s="225" t="str">
        <f ca="1">IF(B306="","",IF(ISERROR(MATCH($J306,SorP!$B$1:$B$6230,0)),"",INDIRECT("'SorP'!$A$"&amp;MATCH($J306,SorP!$B$1:$B$6230,0))))</f>
        <v>RU-BRY</v>
      </c>
      <c r="U306" s="241"/>
      <c r="V306" s="275">
        <f>IF(C306="",NA(),MATCH($B306&amp;$C306,'Smelter Look-up'!$J:$J,0))</f>
        <v>550</v>
      </c>
      <c r="W306" s="276"/>
      <c r="X306" s="276">
        <f t="shared" ca="1" si="43"/>
        <v>0</v>
      </c>
      <c r="Y306" s="276"/>
      <c r="Z306" s="276"/>
      <c r="AB306" s="278" t="str">
        <f t="shared" si="44"/>
        <v>TungstenUnecha Refractory Metals Plant</v>
      </c>
    </row>
    <row r="307" spans="1:28" s="277" customFormat="1" ht="27.95" customHeight="1">
      <c r="A307" s="216"/>
      <c r="B307" s="217" t="s">
        <v>1156</v>
      </c>
      <c r="C307" s="221" t="s">
        <v>926</v>
      </c>
      <c r="D307" s="283"/>
      <c r="E307" s="217" t="str">
        <f ca="1">IF(ISERROR($V307),"",OFFSET('Smelter Look-up'!$D$4,$V307-4,0)&amp;"")</f>
        <v>AUSTRIA</v>
      </c>
      <c r="F307" s="217" t="str">
        <f ca="1">IF(ISERROR($V307),"",OFFSET('Smelter Look-up'!$E$4,$V307-4,0))</f>
        <v>CID002044</v>
      </c>
      <c r="G307" s="217" t="str">
        <f ca="1">IF(C307=$X$4,"Enter smelter details",IF(ISERROR($V307),"",OFFSET('Smelter Look-up'!$F$4,$V307-4,0)))</f>
        <v>RMI</v>
      </c>
      <c r="H307" s="218">
        <f ca="1">IF(ISERROR($V307),"",OFFSET('Smelter Look-up'!$G$4,$V307-4,0))</f>
        <v>0</v>
      </c>
      <c r="I307" s="219" t="str">
        <f ca="1">IF(ISERROR($V307),"",OFFSET('Smelter Look-up'!$H$4,$V307-4,0))</f>
        <v>St. Martin i-S</v>
      </c>
      <c r="J307" s="219" t="str">
        <f ca="1">IF(ISERROR($V307),"",OFFSET('Smelter Look-up'!$I$4,$V307-4,0))</f>
        <v>Steiermark</v>
      </c>
      <c r="K307" s="273"/>
      <c r="L307" s="273"/>
      <c r="M307" s="273"/>
      <c r="N307" s="273"/>
      <c r="O307" s="273"/>
      <c r="P307" s="220"/>
      <c r="Q307" s="274"/>
      <c r="R307" s="217" t="str">
        <f ca="1">IF(ISERROR($V307),"",OFFSET('Smelter Look-up'!$C$4,$V307-4,0)&amp;"")</f>
        <v>Wolfram Bergbau und Hutten AG</v>
      </c>
      <c r="S307" s="225" t="str">
        <f t="shared" ca="1" si="42"/>
        <v>AT</v>
      </c>
      <c r="T307" s="225" t="str">
        <f ca="1">IF(B307="","",IF(ISERROR(MATCH($J307,SorP!$B$1:$B$6230,0)),"",INDIRECT("'SorP'!$A$"&amp;MATCH($J307,SorP!$B$1:$B$6230,0))))</f>
        <v>AT-6</v>
      </c>
      <c r="U307" s="241"/>
      <c r="V307" s="275">
        <f>IF(C307="",NA(),MATCH($B307&amp;$C307,'Smelter Look-up'!$J:$J,0))</f>
        <v>554</v>
      </c>
      <c r="W307" s="276"/>
      <c r="X307" s="276">
        <f t="shared" ca="1" si="43"/>
        <v>0</v>
      </c>
      <c r="Y307" s="276"/>
      <c r="Z307" s="276"/>
      <c r="AB307" s="278" t="str">
        <f t="shared" si="44"/>
        <v>TungstenWolfram Bergbau und Hütten AG</v>
      </c>
    </row>
    <row r="308" spans="1:28" s="277" customFormat="1" ht="27.95" customHeight="1">
      <c r="A308" s="216"/>
      <c r="B308" s="217" t="s">
        <v>1156</v>
      </c>
      <c r="C308" s="221" t="s">
        <v>2395</v>
      </c>
      <c r="D308" s="283"/>
      <c r="E308" s="217" t="str">
        <f ca="1">IF(ISERROR($V308),"",OFFSET('Smelter Look-up'!$D$4,$V308-4,0)&amp;"")</f>
        <v>KOREA, REPUBLIC OF</v>
      </c>
      <c r="F308" s="217" t="str">
        <f ca="1">IF(ISERROR($V308),"",OFFSET('Smelter Look-up'!$E$4,$V308-4,0))</f>
        <v>CID002843</v>
      </c>
      <c r="G308" s="217" t="str">
        <f ca="1">IF(C308=$X$4,"Enter smelter details",IF(ISERROR($V308),"",OFFSET('Smelter Look-up'!$F$4,$V308-4,0)))</f>
        <v>RMI</v>
      </c>
      <c r="H308" s="218">
        <f ca="1">IF(ISERROR($V308),"",OFFSET('Smelter Look-up'!$G$4,$V308-4,0))</f>
        <v>0</v>
      </c>
      <c r="I308" s="219" t="str">
        <f ca="1">IF(ISERROR($V308),"",OFFSET('Smelter Look-up'!$H$4,$V308-4,0))</f>
        <v>Gyeongju-si</v>
      </c>
      <c r="J308" s="219" t="str">
        <f ca="1">IF(ISERROR($V308),"",OFFSET('Smelter Look-up'!$I$4,$V308-4,0))</f>
        <v>Gyeongsangbuk-do</v>
      </c>
      <c r="K308" s="273"/>
      <c r="L308" s="273"/>
      <c r="M308" s="273"/>
      <c r="N308" s="273"/>
      <c r="O308" s="273"/>
      <c r="P308" s="220"/>
      <c r="Q308" s="274"/>
      <c r="R308" s="217" t="str">
        <f ca="1">IF(ISERROR($V308),"",OFFSET('Smelter Look-up'!$C$4,$V308-4,0)&amp;"")</f>
        <v>Woltech Korea Co., Ltd.</v>
      </c>
      <c r="S308" s="225" t="str">
        <f t="shared" ca="1" si="42"/>
        <v>KR</v>
      </c>
      <c r="T308" s="225" t="str">
        <f ca="1">IF(B308="","",IF(ISERROR(MATCH($J308,SorP!$B$1:$B$6230,0)),"",INDIRECT("'SorP'!$A$"&amp;MATCH($J308,SorP!$B$1:$B$6230,0))))</f>
        <v>KR-47</v>
      </c>
      <c r="U308" s="241"/>
      <c r="V308" s="275">
        <f>IF(C308="",NA(),MATCH($B308&amp;$C308,'Smelter Look-up'!$J:$J,0))</f>
        <v>555</v>
      </c>
      <c r="W308" s="276"/>
      <c r="X308" s="276">
        <f t="shared" ca="1" si="43"/>
        <v>0</v>
      </c>
      <c r="Y308" s="276"/>
      <c r="Z308" s="276"/>
      <c r="AB308" s="278" t="str">
        <f t="shared" si="44"/>
        <v>TungstenWoltech Korea Co., Ltd.</v>
      </c>
    </row>
    <row r="309" spans="1:28" s="277" customFormat="1" ht="27.95" customHeight="1">
      <c r="A309" s="216"/>
      <c r="B309" s="217" t="s">
        <v>1156</v>
      </c>
      <c r="C309" s="221" t="s">
        <v>159</v>
      </c>
      <c r="D309" s="283"/>
      <c r="E309" s="217" t="str">
        <f ca="1">IF(ISERROR($V309),"",OFFSET('Smelter Look-up'!$D$4,$V309-4,0)&amp;"")</f>
        <v>CHINA</v>
      </c>
      <c r="F309" s="217" t="str">
        <f ca="1">IF(ISERROR($V309),"",OFFSET('Smelter Look-up'!$E$4,$V309-4,0))</f>
        <v>CID002320</v>
      </c>
      <c r="G309" s="217" t="str">
        <f ca="1">IF(C309=$X$4,"Enter smelter details",IF(ISERROR($V309),"",OFFSET('Smelter Look-up'!$F$4,$V309-4,0)))</f>
        <v>RMI</v>
      </c>
      <c r="H309" s="218">
        <f ca="1">IF(ISERROR($V309),"",OFFSET('Smelter Look-up'!$G$4,$V309-4,0))</f>
        <v>0</v>
      </c>
      <c r="I309" s="219" t="str">
        <f ca="1">IF(ISERROR($V309),"",OFFSET('Smelter Look-up'!$H$4,$V309-4,0))</f>
        <v>Xiamen</v>
      </c>
      <c r="J309" s="219" t="str">
        <f ca="1">IF(ISERROR($V309),"",OFFSET('Smelter Look-up'!$I$4,$V309-4,0))</f>
        <v>Fujian Sheng</v>
      </c>
      <c r="K309" s="273"/>
      <c r="L309" s="273"/>
      <c r="M309" s="273"/>
      <c r="N309" s="273"/>
      <c r="O309" s="273"/>
      <c r="P309" s="220"/>
      <c r="Q309" s="274"/>
      <c r="R309" s="217" t="str">
        <f ca="1">IF(ISERROR($V309),"",OFFSET('Smelter Look-up'!$C$4,$V309-4,0)&amp;"")</f>
        <v>Xiamen Tungsten (H.C.) Co., Ltd.</v>
      </c>
      <c r="S309" s="225" t="str">
        <f t="shared" ca="1" si="42"/>
        <v>CN</v>
      </c>
      <c r="T309" s="225" t="str">
        <f ca="1">IF(B309="","",IF(ISERROR(MATCH($J309,SorP!$B$1:$B$6230,0)),"",INDIRECT("'SorP'!$A$"&amp;MATCH($J309,SorP!$B$1:$B$6230,0))))</f>
        <v>CN-FJ</v>
      </c>
      <c r="U309" s="241"/>
      <c r="V309" s="275">
        <f>IF(C309="",NA(),MATCH($B309&amp;$C309,'Smelter Look-up'!$J:$J,0))</f>
        <v>557</v>
      </c>
      <c r="W309" s="276"/>
      <c r="X309" s="276">
        <f t="shared" ca="1" si="43"/>
        <v>0</v>
      </c>
      <c r="Y309" s="276"/>
      <c r="Z309" s="276"/>
      <c r="AB309" s="278" t="str">
        <f t="shared" si="44"/>
        <v>TungstenXiamen Tungsten (H.C.) Co., Ltd.</v>
      </c>
    </row>
    <row r="310" spans="1:28" s="277" customFormat="1" ht="27.95" customHeight="1">
      <c r="A310" s="216"/>
      <c r="B310" s="217" t="s">
        <v>1156</v>
      </c>
      <c r="C310" s="221" t="s">
        <v>1406</v>
      </c>
      <c r="D310" s="283"/>
      <c r="E310" s="217" t="str">
        <f ca="1">IF(ISERROR($V310),"",OFFSET('Smelter Look-up'!$D$4,$V310-4,0)&amp;"")</f>
        <v>CHINA</v>
      </c>
      <c r="F310" s="217" t="str">
        <f ca="1">IF(ISERROR($V310),"",OFFSET('Smelter Look-up'!$E$4,$V310-4,0))</f>
        <v>CID002082</v>
      </c>
      <c r="G310" s="217" t="str">
        <f ca="1">IF(C310=$X$4,"Enter smelter details",IF(ISERROR($V310),"",OFFSET('Smelter Look-up'!$F$4,$V310-4,0)))</f>
        <v>RMI</v>
      </c>
      <c r="H310" s="218">
        <f ca="1">IF(ISERROR($V310),"",OFFSET('Smelter Look-up'!$G$4,$V310-4,0))</f>
        <v>0</v>
      </c>
      <c r="I310" s="219" t="str">
        <f ca="1">IF(ISERROR($V310),"",OFFSET('Smelter Look-up'!$H$4,$V310-4,0))</f>
        <v>Xiamen</v>
      </c>
      <c r="J310" s="219" t="str">
        <f ca="1">IF(ISERROR($V310),"",OFFSET('Smelter Look-up'!$I$4,$V310-4,0))</f>
        <v>Fujian Sheng</v>
      </c>
      <c r="K310" s="273"/>
      <c r="L310" s="273"/>
      <c r="M310" s="273"/>
      <c r="N310" s="273"/>
      <c r="O310" s="273"/>
      <c r="P310" s="220"/>
      <c r="Q310" s="274"/>
      <c r="R310" s="217" t="str">
        <f ca="1">IF(ISERROR($V310),"",OFFSET('Smelter Look-up'!$C$4,$V310-4,0)&amp;"")</f>
        <v>Xiamen Tungsten Co., Ltd.</v>
      </c>
      <c r="S310" s="225" t="str">
        <f t="shared" ca="1" si="42"/>
        <v>CN</v>
      </c>
      <c r="T310" s="225" t="str">
        <f ca="1">IF(B310="","",IF(ISERROR(MATCH($J310,SorP!$B$1:$B$6230,0)),"",INDIRECT("'SorP'!$A$"&amp;MATCH($J310,SorP!$B$1:$B$6230,0))))</f>
        <v>CN-FJ</v>
      </c>
      <c r="U310" s="241"/>
      <c r="V310" s="275">
        <f>IF(C310="",NA(),MATCH($B310&amp;$C310,'Smelter Look-up'!$J:$J,0))</f>
        <v>558</v>
      </c>
      <c r="W310" s="276"/>
      <c r="X310" s="276">
        <f t="shared" ca="1" si="43"/>
        <v>0</v>
      </c>
      <c r="Y310" s="276"/>
      <c r="Z310" s="276"/>
      <c r="AB310" s="278" t="str">
        <f t="shared" si="44"/>
        <v>TungstenXiamen Tungsten Co., Ltd.</v>
      </c>
    </row>
    <row r="311" spans="1:28" s="277" customFormat="1" ht="27.95" customHeight="1">
      <c r="A311" s="216"/>
      <c r="B311" s="217" t="s">
        <v>1156</v>
      </c>
      <c r="C311" s="221" t="s">
        <v>2397</v>
      </c>
      <c r="D311" s="283"/>
      <c r="E311" s="217" t="str">
        <f ca="1">IF(ISERROR($V311),"",OFFSET('Smelter Look-up'!$D$4,$V311-4,0)&amp;"")</f>
        <v>CHINA</v>
      </c>
      <c r="F311" s="217" t="str">
        <f ca="1">IF(ISERROR($V311),"",OFFSET('Smelter Look-up'!$E$4,$V311-4,0))</f>
        <v>CID002830</v>
      </c>
      <c r="G311" s="217" t="str">
        <f ca="1">IF(C311=$X$4,"Enter smelter details",IF(ISERROR($V311),"",OFFSET('Smelter Look-up'!$F$4,$V311-4,0)))</f>
        <v>RMI</v>
      </c>
      <c r="H311" s="218">
        <f ca="1">IF(ISERROR($V311),"",OFFSET('Smelter Look-up'!$G$4,$V311-4,0))</f>
        <v>0</v>
      </c>
      <c r="I311" s="219" t="str">
        <f ca="1">IF(ISERROR($V311),"",OFFSET('Smelter Look-up'!$H$4,$V311-4,0))</f>
        <v>Ganzhou</v>
      </c>
      <c r="J311" s="219" t="str">
        <f ca="1">IF(ISERROR($V311),"",OFFSET('Smelter Look-up'!$I$4,$V311-4,0))</f>
        <v>Jiangxi Sheng</v>
      </c>
      <c r="K311" s="273"/>
      <c r="L311" s="273"/>
      <c r="M311" s="273"/>
      <c r="N311" s="273"/>
      <c r="O311" s="273"/>
      <c r="P311" s="220"/>
      <c r="Q311" s="274"/>
      <c r="R311" s="217" t="str">
        <f ca="1">IF(ISERROR($V311),"",OFFSET('Smelter Look-up'!$C$4,$V311-4,0)&amp;"")</f>
        <v>Xinfeng Huarui Tungsten &amp; Molybdenum New Material Co., Ltd.</v>
      </c>
      <c r="S311" s="225" t="str">
        <f t="shared" ca="1" si="42"/>
        <v>CN</v>
      </c>
      <c r="T311" s="225" t="str">
        <f ca="1">IF(B311="","",IF(ISERROR(MATCH($J311,SorP!$B$1:$B$6230,0)),"",INDIRECT("'SorP'!$A$"&amp;MATCH($J311,SorP!$B$1:$B$6230,0))))</f>
        <v>CN-JX</v>
      </c>
      <c r="U311" s="241"/>
      <c r="V311" s="275">
        <f>IF(C311="",NA(),MATCH($B311&amp;$C311,'Smelter Look-up'!$J:$J,0))</f>
        <v>559</v>
      </c>
      <c r="W311" s="276"/>
      <c r="X311" s="276">
        <f t="shared" ca="1" si="43"/>
        <v>0</v>
      </c>
      <c r="Y311" s="276"/>
      <c r="Z311" s="276"/>
      <c r="AB311" s="278" t="str">
        <f t="shared" si="44"/>
        <v>TungstenXinfeng Huarui Tungsten &amp; Molybdenum New Material Co., Ltd.</v>
      </c>
    </row>
    <row r="312" spans="1:28" s="277" customFormat="1" ht="20.25">
      <c r="A312" s="216"/>
      <c r="B312" s="217" t="str">
        <f>IF(LEN(A312)=0,"",INDEX('Smelter Look-up'!$A:$A,MATCH($A312,'Smelter Look-up'!$E:$E,0)))</f>
        <v/>
      </c>
      <c r="C312" s="221" t="str">
        <f>IF(LEN(A312)=0,"",INDEX('Smelter Look-up'!$C:$C,MATCH($A312,'Smelter Look-up'!$E:$E,0)))</f>
        <v/>
      </c>
      <c r="D312" s="283"/>
      <c r="E312" s="217" t="str">
        <f ca="1">IF(ISERROR($V312),"",OFFSET('Smelter Look-up'!$D$4,$V312-4,0)&amp;"")</f>
        <v/>
      </c>
      <c r="F312" s="217" t="str">
        <f ca="1">IF(ISERROR($V312),"",OFFSET('Smelter Look-up'!$E$4,$V312-4,0))</f>
        <v/>
      </c>
      <c r="G312" s="217" t="str">
        <f ca="1">IF(C312=$X$4,"Enter smelter details",IF(ISERROR($V312),"",OFFSET('Smelter Look-up'!$F$4,$V312-4,0)))</f>
        <v/>
      </c>
      <c r="H312" s="218" t="str">
        <f ca="1">IF(ISERROR($V312),"",OFFSET('Smelter Look-up'!$G$4,$V312-4,0))</f>
        <v/>
      </c>
      <c r="I312" s="219" t="str">
        <f ca="1">IF(ISERROR($V312),"",OFFSET('Smelter Look-up'!$H$4,$V312-4,0))</f>
        <v/>
      </c>
      <c r="J312" s="219" t="str">
        <f ca="1">IF(ISERROR($V312),"",OFFSET('Smelter Look-up'!$I$4,$V312-4,0))</f>
        <v/>
      </c>
      <c r="K312" s="273"/>
      <c r="L312" s="273"/>
      <c r="M312" s="273"/>
      <c r="N312" s="273"/>
      <c r="O312" s="273"/>
      <c r="P312" s="220"/>
      <c r="Q312" s="274"/>
      <c r="R312" s="217" t="str">
        <f ca="1">IF(ISERROR($V312),"",OFFSET('Smelter Look-up'!$C$4,$V312-4,0)&amp;"")</f>
        <v/>
      </c>
      <c r="S312" s="225" t="str">
        <f t="shared" ca="1" si="42"/>
        <v/>
      </c>
      <c r="T312" s="225" t="str">
        <f ca="1">IF(B312="","",IF(ISERROR(MATCH($J312,SorP!$B$1:$B$6230,0)),"",INDIRECT("'SorP'!$A$"&amp;MATCH($J312,SorP!$B$1:$B$6230,0))))</f>
        <v/>
      </c>
      <c r="U312" s="241"/>
      <c r="V312" s="275" t="e">
        <f>IF(C312="",NA(),MATCH($B312&amp;$C312,'Smelter Look-up'!$J:$J,0))</f>
        <v>#N/A</v>
      </c>
      <c r="W312" s="276"/>
      <c r="X312" s="276">
        <f t="shared" ca="1" si="43"/>
        <v>0</v>
      </c>
      <c r="Y312" s="276"/>
      <c r="Z312" s="276"/>
      <c r="AB312" s="278" t="str">
        <f t="shared" si="44"/>
        <v/>
      </c>
    </row>
    <row r="313" spans="1:28" s="277" customFormat="1" ht="20.25">
      <c r="A313" s="216"/>
      <c r="B313" s="217" t="str">
        <f>IF(LEN(A313)=0,"",INDEX('Smelter Look-up'!$A:$A,MATCH($A313,'Smelter Look-up'!$E:$E,0)))</f>
        <v/>
      </c>
      <c r="C313" s="221" t="str">
        <f>IF(LEN(A313)=0,"",INDEX('Smelter Look-up'!$C:$C,MATCH($A313,'Smelter Look-up'!$E:$E,0)))</f>
        <v/>
      </c>
      <c r="D313" s="283"/>
      <c r="E313" s="217" t="str">
        <f ca="1">IF(ISERROR($V313),"",OFFSET('Smelter Look-up'!$D$4,$V313-4,0)&amp;"")</f>
        <v/>
      </c>
      <c r="F313" s="217" t="str">
        <f ca="1">IF(ISERROR($V313),"",OFFSET('Smelter Look-up'!$E$4,$V313-4,0))</f>
        <v/>
      </c>
      <c r="G313" s="217" t="str">
        <f ca="1">IF(C313=$X$4,"Enter smelter details",IF(ISERROR($V313),"",OFFSET('Smelter Look-up'!$F$4,$V313-4,0)))</f>
        <v/>
      </c>
      <c r="H313" s="218" t="str">
        <f ca="1">IF(ISERROR($V313),"",OFFSET('Smelter Look-up'!$G$4,$V313-4,0))</f>
        <v/>
      </c>
      <c r="I313" s="219" t="str">
        <f ca="1">IF(ISERROR($V313),"",OFFSET('Smelter Look-up'!$H$4,$V313-4,0))</f>
        <v/>
      </c>
      <c r="J313" s="219" t="str">
        <f ca="1">IF(ISERROR($V313),"",OFFSET('Smelter Look-up'!$I$4,$V313-4,0))</f>
        <v/>
      </c>
      <c r="K313" s="273"/>
      <c r="L313" s="273"/>
      <c r="M313" s="273"/>
      <c r="N313" s="273"/>
      <c r="O313" s="273"/>
      <c r="P313" s="220"/>
      <c r="Q313" s="274"/>
      <c r="R313" s="217" t="str">
        <f ca="1">IF(ISERROR($V313),"",OFFSET('Smelter Look-up'!$C$4,$V313-4,0)&amp;"")</f>
        <v/>
      </c>
      <c r="S313" s="225" t="str">
        <f t="shared" ca="1" si="42"/>
        <v/>
      </c>
      <c r="T313" s="225" t="str">
        <f ca="1">IF(B313="","",IF(ISERROR(MATCH($J313,SorP!$B$1:$B$6230,0)),"",INDIRECT("'SorP'!$A$"&amp;MATCH($J313,SorP!$B$1:$B$6230,0))))</f>
        <v/>
      </c>
      <c r="U313" s="241"/>
      <c r="V313" s="275" t="e">
        <f>IF(C313="",NA(),MATCH($B313&amp;$C313,'Smelter Look-up'!$J:$J,0))</f>
        <v>#N/A</v>
      </c>
      <c r="W313" s="276"/>
      <c r="X313" s="276">
        <f t="shared" ca="1" si="43"/>
        <v>0</v>
      </c>
      <c r="Y313" s="276"/>
      <c r="Z313" s="276"/>
      <c r="AB313" s="278" t="str">
        <f t="shared" si="44"/>
        <v/>
      </c>
    </row>
    <row r="314" spans="1:28" s="277" customFormat="1" ht="20.25">
      <c r="A314" s="216"/>
      <c r="B314" s="217" t="str">
        <f>IF(LEN(A314)=0,"",INDEX('Smelter Look-up'!$A:$A,MATCH($A314,'Smelter Look-up'!$E:$E,0)))</f>
        <v/>
      </c>
      <c r="C314" s="221" t="str">
        <f>IF(LEN(A314)=0,"",INDEX('Smelter Look-up'!$C:$C,MATCH($A314,'Smelter Look-up'!$E:$E,0)))</f>
        <v/>
      </c>
      <c r="D314" s="283"/>
      <c r="E314" s="217" t="str">
        <f ca="1">IF(ISERROR($V314),"",OFFSET('Smelter Look-up'!$D$4,$V314-4,0)&amp;"")</f>
        <v/>
      </c>
      <c r="F314" s="217" t="str">
        <f ca="1">IF(ISERROR($V314),"",OFFSET('Smelter Look-up'!$E$4,$V314-4,0))</f>
        <v/>
      </c>
      <c r="G314" s="217" t="str">
        <f ca="1">IF(C314=$X$4,"Enter smelter details",IF(ISERROR($V314),"",OFFSET('Smelter Look-up'!$F$4,$V314-4,0)))</f>
        <v/>
      </c>
      <c r="H314" s="218" t="str">
        <f ca="1">IF(ISERROR($V314),"",OFFSET('Smelter Look-up'!$G$4,$V314-4,0))</f>
        <v/>
      </c>
      <c r="I314" s="219" t="str">
        <f ca="1">IF(ISERROR($V314),"",OFFSET('Smelter Look-up'!$H$4,$V314-4,0))</f>
        <v/>
      </c>
      <c r="J314" s="219" t="str">
        <f ca="1">IF(ISERROR($V314),"",OFFSET('Smelter Look-up'!$I$4,$V314-4,0))</f>
        <v/>
      </c>
      <c r="K314" s="273"/>
      <c r="L314" s="273"/>
      <c r="M314" s="273"/>
      <c r="N314" s="273"/>
      <c r="O314" s="273"/>
      <c r="P314" s="220"/>
      <c r="Q314" s="274"/>
      <c r="R314" s="217" t="str">
        <f ca="1">IF(ISERROR($V314),"",OFFSET('Smelter Look-up'!$C$4,$V314-4,0)&amp;"")</f>
        <v/>
      </c>
      <c r="S314" s="225" t="str">
        <f t="shared" ca="1" si="42"/>
        <v/>
      </c>
      <c r="T314" s="225" t="str">
        <f ca="1">IF(B314="","",IF(ISERROR(MATCH($J314,SorP!$B$1:$B$6230,0)),"",INDIRECT("'SorP'!$A$"&amp;MATCH($J314,SorP!$B$1:$B$6230,0))))</f>
        <v/>
      </c>
      <c r="U314" s="241"/>
      <c r="V314" s="275" t="e">
        <f>IF(C314="",NA(),MATCH($B314&amp;$C314,'Smelter Look-up'!$J:$J,0))</f>
        <v>#N/A</v>
      </c>
      <c r="W314" s="276"/>
      <c r="X314" s="276">
        <f t="shared" ca="1" si="43"/>
        <v>0</v>
      </c>
      <c r="Y314" s="276"/>
      <c r="Z314" s="276"/>
      <c r="AB314" s="278" t="str">
        <f t="shared" si="44"/>
        <v/>
      </c>
    </row>
    <row r="315" spans="1:28" s="277" customFormat="1" ht="20.25">
      <c r="A315" s="216"/>
      <c r="B315" s="217" t="str">
        <f>IF(LEN(A315)=0,"",INDEX('Smelter Look-up'!$A:$A,MATCH($A315,'Smelter Look-up'!$E:$E,0)))</f>
        <v/>
      </c>
      <c r="C315" s="221" t="str">
        <f>IF(LEN(A315)=0,"",INDEX('Smelter Look-up'!$C:$C,MATCH($A315,'Smelter Look-up'!$E:$E,0)))</f>
        <v/>
      </c>
      <c r="D315" s="283"/>
      <c r="E315" s="217" t="str">
        <f ca="1">IF(ISERROR($V315),"",OFFSET('Smelter Look-up'!$D$4,$V315-4,0)&amp;"")</f>
        <v/>
      </c>
      <c r="F315" s="217" t="str">
        <f ca="1">IF(ISERROR($V315),"",OFFSET('Smelter Look-up'!$E$4,$V315-4,0))</f>
        <v/>
      </c>
      <c r="G315" s="217" t="str">
        <f ca="1">IF(C315=$X$4,"Enter smelter details",IF(ISERROR($V315),"",OFFSET('Smelter Look-up'!$F$4,$V315-4,0)))</f>
        <v/>
      </c>
      <c r="H315" s="218" t="str">
        <f ca="1">IF(ISERROR($V315),"",OFFSET('Smelter Look-up'!$G$4,$V315-4,0))</f>
        <v/>
      </c>
      <c r="I315" s="219" t="str">
        <f ca="1">IF(ISERROR($V315),"",OFFSET('Smelter Look-up'!$H$4,$V315-4,0))</f>
        <v/>
      </c>
      <c r="J315" s="219" t="str">
        <f ca="1">IF(ISERROR($V315),"",OFFSET('Smelter Look-up'!$I$4,$V315-4,0))</f>
        <v/>
      </c>
      <c r="K315" s="273"/>
      <c r="L315" s="273"/>
      <c r="M315" s="273"/>
      <c r="N315" s="273"/>
      <c r="O315" s="273"/>
      <c r="P315" s="220"/>
      <c r="Q315" s="274"/>
      <c r="R315" s="217" t="str">
        <f ca="1">IF(ISERROR($V315),"",OFFSET('Smelter Look-up'!$C$4,$V315-4,0)&amp;"")</f>
        <v/>
      </c>
      <c r="S315" s="225" t="str">
        <f t="shared" ca="1" si="42"/>
        <v/>
      </c>
      <c r="T315" s="225" t="str">
        <f ca="1">IF(B315="","",IF(ISERROR(MATCH($J315,SorP!$B$1:$B$6230,0)),"",INDIRECT("'SorP'!$A$"&amp;MATCH($J315,SorP!$B$1:$B$6230,0))))</f>
        <v/>
      </c>
      <c r="U315" s="241"/>
      <c r="V315" s="275" t="e">
        <f>IF(C315="",NA(),MATCH($B315&amp;$C315,'Smelter Look-up'!$J:$J,0))</f>
        <v>#N/A</v>
      </c>
      <c r="W315" s="276"/>
      <c r="X315" s="276">
        <f t="shared" ca="1" si="43"/>
        <v>0</v>
      </c>
      <c r="Y315" s="276"/>
      <c r="Z315" s="276"/>
      <c r="AB315" s="278" t="str">
        <f t="shared" si="44"/>
        <v/>
      </c>
    </row>
    <row r="316" spans="1:28" s="277" customFormat="1" ht="20.25">
      <c r="A316" s="216"/>
      <c r="B316" s="217" t="str">
        <f>IF(LEN(A316)=0,"",INDEX('Smelter Look-up'!$A:$A,MATCH($A316,'Smelter Look-up'!$E:$E,0)))</f>
        <v/>
      </c>
      <c r="C316" s="221" t="str">
        <f>IF(LEN(A316)=0,"",INDEX('Smelter Look-up'!$C:$C,MATCH($A316,'Smelter Look-up'!$E:$E,0)))</f>
        <v/>
      </c>
      <c r="D316" s="283"/>
      <c r="E316" s="217" t="str">
        <f ca="1">IF(ISERROR($V316),"",OFFSET('Smelter Look-up'!$D$4,$V316-4,0)&amp;"")</f>
        <v/>
      </c>
      <c r="F316" s="217" t="str">
        <f ca="1">IF(ISERROR($V316),"",OFFSET('Smelter Look-up'!$E$4,$V316-4,0))</f>
        <v/>
      </c>
      <c r="G316" s="217" t="str">
        <f ca="1">IF(C316=$X$4,"Enter smelter details",IF(ISERROR($V316),"",OFFSET('Smelter Look-up'!$F$4,$V316-4,0)))</f>
        <v/>
      </c>
      <c r="H316" s="218" t="str">
        <f ca="1">IF(ISERROR($V316),"",OFFSET('Smelter Look-up'!$G$4,$V316-4,0))</f>
        <v/>
      </c>
      <c r="I316" s="219" t="str">
        <f ca="1">IF(ISERROR($V316),"",OFFSET('Smelter Look-up'!$H$4,$V316-4,0))</f>
        <v/>
      </c>
      <c r="J316" s="219" t="str">
        <f ca="1">IF(ISERROR($V316),"",OFFSET('Smelter Look-up'!$I$4,$V316-4,0))</f>
        <v/>
      </c>
      <c r="K316" s="273"/>
      <c r="L316" s="273"/>
      <c r="M316" s="273"/>
      <c r="N316" s="273"/>
      <c r="O316" s="273"/>
      <c r="P316" s="220"/>
      <c r="Q316" s="274"/>
      <c r="R316" s="217" t="str">
        <f ca="1">IF(ISERROR($V316),"",OFFSET('Smelter Look-up'!$C$4,$V316-4,0)&amp;"")</f>
        <v/>
      </c>
      <c r="S316" s="225" t="str">
        <f t="shared" ca="1" si="42"/>
        <v/>
      </c>
      <c r="T316" s="225" t="str">
        <f ca="1">IF(B316="","",IF(ISERROR(MATCH($J316,SorP!$B$1:$B$6230,0)),"",INDIRECT("'SorP'!$A$"&amp;MATCH($J316,SorP!$B$1:$B$6230,0))))</f>
        <v/>
      </c>
      <c r="U316" s="241"/>
      <c r="V316" s="275" t="e">
        <f>IF(C316="",NA(),MATCH($B316&amp;$C316,'Smelter Look-up'!$J:$J,0))</f>
        <v>#N/A</v>
      </c>
      <c r="W316" s="276"/>
      <c r="X316" s="276">
        <f t="shared" ca="1" si="43"/>
        <v>0</v>
      </c>
      <c r="Y316" s="276"/>
      <c r="Z316" s="276"/>
      <c r="AB316" s="278" t="str">
        <f t="shared" si="44"/>
        <v/>
      </c>
    </row>
    <row r="317" spans="1:28" s="277" customFormat="1" ht="20.25">
      <c r="A317" s="216"/>
      <c r="B317" s="217" t="str">
        <f>IF(LEN(A317)=0,"",INDEX('Smelter Look-up'!$A:$A,MATCH($A317,'Smelter Look-up'!$E:$E,0)))</f>
        <v/>
      </c>
      <c r="C317" s="221" t="str">
        <f>IF(LEN(A317)=0,"",INDEX('Smelter Look-up'!$C:$C,MATCH($A317,'Smelter Look-up'!$E:$E,0)))</f>
        <v/>
      </c>
      <c r="D317" s="283"/>
      <c r="E317" s="217" t="str">
        <f ca="1">IF(ISERROR($V317),"",OFFSET('Smelter Look-up'!$D$4,$V317-4,0)&amp;"")</f>
        <v/>
      </c>
      <c r="F317" s="217" t="str">
        <f ca="1">IF(ISERROR($V317),"",OFFSET('Smelter Look-up'!$E$4,$V317-4,0))</f>
        <v/>
      </c>
      <c r="G317" s="217" t="str">
        <f ca="1">IF(C317=$X$4,"Enter smelter details",IF(ISERROR($V317),"",OFFSET('Smelter Look-up'!$F$4,$V317-4,0)))</f>
        <v/>
      </c>
      <c r="H317" s="218" t="str">
        <f ca="1">IF(ISERROR($V317),"",OFFSET('Smelter Look-up'!$G$4,$V317-4,0))</f>
        <v/>
      </c>
      <c r="I317" s="219" t="str">
        <f ca="1">IF(ISERROR($V317),"",OFFSET('Smelter Look-up'!$H$4,$V317-4,0))</f>
        <v/>
      </c>
      <c r="J317" s="219" t="str">
        <f ca="1">IF(ISERROR($V317),"",OFFSET('Smelter Look-up'!$I$4,$V317-4,0))</f>
        <v/>
      </c>
      <c r="K317" s="273"/>
      <c r="L317" s="273"/>
      <c r="M317" s="273"/>
      <c r="N317" s="273"/>
      <c r="O317" s="273"/>
      <c r="P317" s="220"/>
      <c r="Q317" s="274"/>
      <c r="R317" s="217" t="str">
        <f ca="1">IF(ISERROR($V317),"",OFFSET('Smelter Look-up'!$C$4,$V317-4,0)&amp;"")</f>
        <v/>
      </c>
      <c r="S317" s="225" t="str">
        <f t="shared" ca="1" si="42"/>
        <v/>
      </c>
      <c r="T317" s="225" t="str">
        <f ca="1">IF(B317="","",IF(ISERROR(MATCH($J317,SorP!$B$1:$B$6230,0)),"",INDIRECT("'SorP'!$A$"&amp;MATCH($J317,SorP!$B$1:$B$6230,0))))</f>
        <v/>
      </c>
      <c r="U317" s="241"/>
      <c r="V317" s="275" t="e">
        <f>IF(C317="",NA(),MATCH($B317&amp;$C317,'Smelter Look-up'!$J:$J,0))</f>
        <v>#N/A</v>
      </c>
      <c r="W317" s="276"/>
      <c r="X317" s="276">
        <f t="shared" ca="1" si="43"/>
        <v>0</v>
      </c>
      <c r="Y317" s="276"/>
      <c r="Z317" s="276"/>
      <c r="AB317" s="278" t="str">
        <f t="shared" si="44"/>
        <v/>
      </c>
    </row>
    <row r="318" spans="1:28" s="277" customFormat="1" ht="20.25">
      <c r="A318" s="216"/>
      <c r="B318" s="217" t="str">
        <f>IF(LEN(A318)=0,"",INDEX('Smelter Look-up'!$A:$A,MATCH($A318,'Smelter Look-up'!$E:$E,0)))</f>
        <v/>
      </c>
      <c r="C318" s="221" t="str">
        <f>IF(LEN(A318)=0,"",INDEX('Smelter Look-up'!$C:$C,MATCH($A318,'Smelter Look-up'!$E:$E,0)))</f>
        <v/>
      </c>
      <c r="D318" s="283"/>
      <c r="E318" s="217" t="str">
        <f ca="1">IF(ISERROR($V318),"",OFFSET('Smelter Look-up'!$D$4,$V318-4,0)&amp;"")</f>
        <v/>
      </c>
      <c r="F318" s="217" t="str">
        <f ca="1">IF(ISERROR($V318),"",OFFSET('Smelter Look-up'!$E$4,$V318-4,0))</f>
        <v/>
      </c>
      <c r="G318" s="217" t="str">
        <f ca="1">IF(C318=$X$4,"Enter smelter details",IF(ISERROR($V318),"",OFFSET('Smelter Look-up'!$F$4,$V318-4,0)))</f>
        <v/>
      </c>
      <c r="H318" s="218" t="str">
        <f ca="1">IF(ISERROR($V318),"",OFFSET('Smelter Look-up'!$G$4,$V318-4,0))</f>
        <v/>
      </c>
      <c r="I318" s="219" t="str">
        <f ca="1">IF(ISERROR($V318),"",OFFSET('Smelter Look-up'!$H$4,$V318-4,0))</f>
        <v/>
      </c>
      <c r="J318" s="219" t="str">
        <f ca="1">IF(ISERROR($V318),"",OFFSET('Smelter Look-up'!$I$4,$V318-4,0))</f>
        <v/>
      </c>
      <c r="K318" s="273"/>
      <c r="L318" s="273"/>
      <c r="M318" s="273"/>
      <c r="N318" s="273"/>
      <c r="O318" s="273"/>
      <c r="P318" s="220"/>
      <c r="Q318" s="274"/>
      <c r="R318" s="217" t="str">
        <f ca="1">IF(ISERROR($V318),"",OFFSET('Smelter Look-up'!$C$4,$V318-4,0)&amp;"")</f>
        <v/>
      </c>
      <c r="S318" s="225" t="str">
        <f t="shared" ca="1" si="42"/>
        <v/>
      </c>
      <c r="T318" s="225" t="str">
        <f ca="1">IF(B318="","",IF(ISERROR(MATCH($J318,SorP!$B$1:$B$6230,0)),"",INDIRECT("'SorP'!$A$"&amp;MATCH($J318,SorP!$B$1:$B$6230,0))))</f>
        <v/>
      </c>
      <c r="U318" s="241"/>
      <c r="V318" s="275" t="e">
        <f>IF(C318="",NA(),MATCH($B318&amp;$C318,'Smelter Look-up'!$J:$J,0))</f>
        <v>#N/A</v>
      </c>
      <c r="W318" s="276"/>
      <c r="X318" s="276">
        <f t="shared" ca="1" si="43"/>
        <v>0</v>
      </c>
      <c r="Y318" s="276"/>
      <c r="Z318" s="276"/>
      <c r="AB318" s="278" t="str">
        <f t="shared" si="44"/>
        <v/>
      </c>
    </row>
    <row r="319" spans="1:28" s="277" customFormat="1" ht="20.25">
      <c r="A319" s="216"/>
      <c r="B319" s="217" t="str">
        <f>IF(LEN(A319)=0,"",INDEX('Smelter Look-up'!$A:$A,MATCH($A319,'Smelter Look-up'!$E:$E,0)))</f>
        <v/>
      </c>
      <c r="C319" s="221" t="str">
        <f>IF(LEN(A319)=0,"",INDEX('Smelter Look-up'!$C:$C,MATCH($A319,'Smelter Look-up'!$E:$E,0)))</f>
        <v/>
      </c>
      <c r="D319" s="283"/>
      <c r="E319" s="217" t="str">
        <f ca="1">IF(ISERROR($V319),"",OFFSET('Smelter Look-up'!$D$4,$V319-4,0)&amp;"")</f>
        <v/>
      </c>
      <c r="F319" s="217" t="str">
        <f ca="1">IF(ISERROR($V319),"",OFFSET('Smelter Look-up'!$E$4,$V319-4,0))</f>
        <v/>
      </c>
      <c r="G319" s="217" t="str">
        <f ca="1">IF(C319=$X$4,"Enter smelter details",IF(ISERROR($V319),"",OFFSET('Smelter Look-up'!$F$4,$V319-4,0)))</f>
        <v/>
      </c>
      <c r="H319" s="218" t="str">
        <f ca="1">IF(ISERROR($V319),"",OFFSET('Smelter Look-up'!$G$4,$V319-4,0))</f>
        <v/>
      </c>
      <c r="I319" s="219" t="str">
        <f ca="1">IF(ISERROR($V319),"",OFFSET('Smelter Look-up'!$H$4,$V319-4,0))</f>
        <v/>
      </c>
      <c r="J319" s="219" t="str">
        <f ca="1">IF(ISERROR($V319),"",OFFSET('Smelter Look-up'!$I$4,$V319-4,0))</f>
        <v/>
      </c>
      <c r="K319" s="273"/>
      <c r="L319" s="273"/>
      <c r="M319" s="273"/>
      <c r="N319" s="273"/>
      <c r="O319" s="273"/>
      <c r="P319" s="220"/>
      <c r="Q319" s="274"/>
      <c r="R319" s="217" t="str">
        <f ca="1">IF(ISERROR($V319),"",OFFSET('Smelter Look-up'!$C$4,$V319-4,0)&amp;"")</f>
        <v/>
      </c>
      <c r="S319" s="225" t="str">
        <f t="shared" ca="1" si="42"/>
        <v/>
      </c>
      <c r="T319" s="225" t="str">
        <f ca="1">IF(B319="","",IF(ISERROR(MATCH($J319,SorP!$B$1:$B$6230,0)),"",INDIRECT("'SorP'!$A$"&amp;MATCH($J319,SorP!$B$1:$B$6230,0))))</f>
        <v/>
      </c>
      <c r="U319" s="241"/>
      <c r="V319" s="275" t="e">
        <f>IF(C319="",NA(),MATCH($B319&amp;$C319,'Smelter Look-up'!$J:$J,0))</f>
        <v>#N/A</v>
      </c>
      <c r="W319" s="276"/>
      <c r="X319" s="276">
        <f t="shared" ca="1" si="43"/>
        <v>0</v>
      </c>
      <c r="Y319" s="276"/>
      <c r="Z319" s="276"/>
      <c r="AB319" s="278" t="str">
        <f t="shared" si="44"/>
        <v/>
      </c>
    </row>
    <row r="320" spans="1:28" s="277" customFormat="1" ht="20.25">
      <c r="A320" s="216"/>
      <c r="B320" s="217" t="str">
        <f>IF(LEN(A320)=0,"",INDEX('Smelter Look-up'!$A:$A,MATCH($A320,'Smelter Look-up'!$E:$E,0)))</f>
        <v/>
      </c>
      <c r="C320" s="221" t="str">
        <f>IF(LEN(A320)=0,"",INDEX('Smelter Look-up'!$C:$C,MATCH($A320,'Smelter Look-up'!$E:$E,0)))</f>
        <v/>
      </c>
      <c r="D320" s="283"/>
      <c r="E320" s="217" t="str">
        <f ca="1">IF(ISERROR($V320),"",OFFSET('Smelter Look-up'!$D$4,$V320-4,0)&amp;"")</f>
        <v/>
      </c>
      <c r="F320" s="217" t="str">
        <f ca="1">IF(ISERROR($V320),"",OFFSET('Smelter Look-up'!$E$4,$V320-4,0))</f>
        <v/>
      </c>
      <c r="G320" s="217" t="str">
        <f ca="1">IF(C320=$X$4,"Enter smelter details",IF(ISERROR($V320),"",OFFSET('Smelter Look-up'!$F$4,$V320-4,0)))</f>
        <v/>
      </c>
      <c r="H320" s="218" t="str">
        <f ca="1">IF(ISERROR($V320),"",OFFSET('Smelter Look-up'!$G$4,$V320-4,0))</f>
        <v/>
      </c>
      <c r="I320" s="219" t="str">
        <f ca="1">IF(ISERROR($V320),"",OFFSET('Smelter Look-up'!$H$4,$V320-4,0))</f>
        <v/>
      </c>
      <c r="J320" s="219" t="str">
        <f ca="1">IF(ISERROR($V320),"",OFFSET('Smelter Look-up'!$I$4,$V320-4,0))</f>
        <v/>
      </c>
      <c r="K320" s="273"/>
      <c r="L320" s="273"/>
      <c r="M320" s="273"/>
      <c r="N320" s="273"/>
      <c r="O320" s="273"/>
      <c r="P320" s="220"/>
      <c r="Q320" s="274"/>
      <c r="R320" s="217" t="str">
        <f ca="1">IF(ISERROR($V320),"",OFFSET('Smelter Look-up'!$C$4,$V320-4,0)&amp;"")</f>
        <v/>
      </c>
      <c r="S320" s="225" t="str">
        <f t="shared" ca="1" si="42"/>
        <v/>
      </c>
      <c r="T320" s="225" t="str">
        <f ca="1">IF(B320="","",IF(ISERROR(MATCH($J320,SorP!$B$1:$B$6230,0)),"",INDIRECT("'SorP'!$A$"&amp;MATCH($J320,SorP!$B$1:$B$6230,0))))</f>
        <v/>
      </c>
      <c r="U320" s="241"/>
      <c r="V320" s="275" t="e">
        <f>IF(C320="",NA(),MATCH($B320&amp;$C320,'Smelter Look-up'!$J:$J,0))</f>
        <v>#N/A</v>
      </c>
      <c r="W320" s="276"/>
      <c r="X320" s="276">
        <f t="shared" ca="1" si="43"/>
        <v>0</v>
      </c>
      <c r="Y320" s="276"/>
      <c r="Z320" s="276"/>
      <c r="AB320" s="278" t="str">
        <f t="shared" si="44"/>
        <v/>
      </c>
    </row>
    <row r="321" spans="1:28" s="277" customFormat="1" ht="20.25">
      <c r="A321" s="216"/>
      <c r="B321" s="217" t="str">
        <f>IF(LEN(A321)=0,"",INDEX('Smelter Look-up'!$A:$A,MATCH($A321,'Smelter Look-up'!$E:$E,0)))</f>
        <v/>
      </c>
      <c r="C321" s="221" t="str">
        <f>IF(LEN(A321)=0,"",INDEX('Smelter Look-up'!$C:$C,MATCH($A321,'Smelter Look-up'!$E:$E,0)))</f>
        <v/>
      </c>
      <c r="D321" s="283"/>
      <c r="E321" s="217" t="str">
        <f ca="1">IF(ISERROR($V321),"",OFFSET('Smelter Look-up'!$D$4,$V321-4,0)&amp;"")</f>
        <v/>
      </c>
      <c r="F321" s="217" t="str">
        <f ca="1">IF(ISERROR($V321),"",OFFSET('Smelter Look-up'!$E$4,$V321-4,0))</f>
        <v/>
      </c>
      <c r="G321" s="217" t="str">
        <f ca="1">IF(C321=$X$4,"Enter smelter details",IF(ISERROR($V321),"",OFFSET('Smelter Look-up'!$F$4,$V321-4,0)))</f>
        <v/>
      </c>
      <c r="H321" s="218" t="str">
        <f ca="1">IF(ISERROR($V321),"",OFFSET('Smelter Look-up'!$G$4,$V321-4,0))</f>
        <v/>
      </c>
      <c r="I321" s="219" t="str">
        <f ca="1">IF(ISERROR($V321),"",OFFSET('Smelter Look-up'!$H$4,$V321-4,0))</f>
        <v/>
      </c>
      <c r="J321" s="219" t="str">
        <f ca="1">IF(ISERROR($V321),"",OFFSET('Smelter Look-up'!$I$4,$V321-4,0))</f>
        <v/>
      </c>
      <c r="K321" s="273"/>
      <c r="L321" s="273"/>
      <c r="M321" s="273"/>
      <c r="N321" s="273"/>
      <c r="O321" s="273"/>
      <c r="P321" s="220"/>
      <c r="Q321" s="274"/>
      <c r="R321" s="217" t="str">
        <f ca="1">IF(ISERROR($V321),"",OFFSET('Smelter Look-up'!$C$4,$V321-4,0)&amp;"")</f>
        <v/>
      </c>
      <c r="S321" s="225" t="str">
        <f t="shared" ca="1" si="42"/>
        <v/>
      </c>
      <c r="T321" s="225" t="str">
        <f ca="1">IF(B321="","",IF(ISERROR(MATCH($J321,SorP!$B$1:$B$6230,0)),"",INDIRECT("'SorP'!$A$"&amp;MATCH($J321,SorP!$B$1:$B$6230,0))))</f>
        <v/>
      </c>
      <c r="U321" s="241"/>
      <c r="V321" s="275" t="e">
        <f>IF(C321="",NA(),MATCH($B321&amp;$C321,'Smelter Look-up'!$J:$J,0))</f>
        <v>#N/A</v>
      </c>
      <c r="W321" s="276"/>
      <c r="X321" s="276">
        <f t="shared" ca="1" si="43"/>
        <v>0</v>
      </c>
      <c r="Y321" s="276"/>
      <c r="Z321" s="276"/>
      <c r="AB321" s="278" t="str">
        <f t="shared" si="44"/>
        <v/>
      </c>
    </row>
    <row r="322" spans="1:28" s="277" customFormat="1" ht="20.25">
      <c r="A322" s="216"/>
      <c r="B322" s="217" t="str">
        <f>IF(LEN(A322)=0,"",INDEX('Smelter Look-up'!$A:$A,MATCH($A322,'Smelter Look-up'!$E:$E,0)))</f>
        <v/>
      </c>
      <c r="C322" s="221" t="str">
        <f>IF(LEN(A322)=0,"",INDEX('Smelter Look-up'!$C:$C,MATCH($A322,'Smelter Look-up'!$E:$E,0)))</f>
        <v/>
      </c>
      <c r="D322" s="283"/>
      <c r="E322" s="217" t="str">
        <f ca="1">IF(ISERROR($V322),"",OFFSET('Smelter Look-up'!$D$4,$V322-4,0)&amp;"")</f>
        <v/>
      </c>
      <c r="F322" s="217" t="str">
        <f ca="1">IF(ISERROR($V322),"",OFFSET('Smelter Look-up'!$E$4,$V322-4,0))</f>
        <v/>
      </c>
      <c r="G322" s="217" t="str">
        <f ca="1">IF(C322=$X$4,"Enter smelter details",IF(ISERROR($V322),"",OFFSET('Smelter Look-up'!$F$4,$V322-4,0)))</f>
        <v/>
      </c>
      <c r="H322" s="218" t="str">
        <f ca="1">IF(ISERROR($V322),"",OFFSET('Smelter Look-up'!$G$4,$V322-4,0))</f>
        <v/>
      </c>
      <c r="I322" s="219" t="str">
        <f ca="1">IF(ISERROR($V322),"",OFFSET('Smelter Look-up'!$H$4,$V322-4,0))</f>
        <v/>
      </c>
      <c r="J322" s="219" t="str">
        <f ca="1">IF(ISERROR($V322),"",OFFSET('Smelter Look-up'!$I$4,$V322-4,0))</f>
        <v/>
      </c>
      <c r="K322" s="273"/>
      <c r="L322" s="273"/>
      <c r="M322" s="273"/>
      <c r="N322" s="273"/>
      <c r="O322" s="273"/>
      <c r="P322" s="220"/>
      <c r="Q322" s="274"/>
      <c r="R322" s="217" t="str">
        <f ca="1">IF(ISERROR($V322),"",OFFSET('Smelter Look-up'!$C$4,$V322-4,0)&amp;"")</f>
        <v/>
      </c>
      <c r="S322" s="225" t="str">
        <f t="shared" ca="1" si="42"/>
        <v/>
      </c>
      <c r="T322" s="225" t="str">
        <f ca="1">IF(B322="","",IF(ISERROR(MATCH($J322,SorP!$B$1:$B$6230,0)),"",INDIRECT("'SorP'!$A$"&amp;MATCH($J322,SorP!$B$1:$B$6230,0))))</f>
        <v/>
      </c>
      <c r="U322" s="241"/>
      <c r="V322" s="275" t="e">
        <f>IF(C322="",NA(),MATCH($B322&amp;$C322,'Smelter Look-up'!$J:$J,0))</f>
        <v>#N/A</v>
      </c>
      <c r="W322" s="276"/>
      <c r="X322" s="276">
        <f t="shared" ca="1" si="43"/>
        <v>0</v>
      </c>
      <c r="Y322" s="276"/>
      <c r="Z322" s="276"/>
      <c r="AB322" s="278" t="str">
        <f t="shared" si="44"/>
        <v/>
      </c>
    </row>
    <row r="323" spans="1:28" s="277" customFormat="1" ht="20.25">
      <c r="A323" s="216"/>
      <c r="B323" s="217" t="str">
        <f>IF(LEN(A323)=0,"",INDEX('Smelter Look-up'!$A:$A,MATCH($A323,'Smelter Look-up'!$E:$E,0)))</f>
        <v/>
      </c>
      <c r="C323" s="221" t="str">
        <f>IF(LEN(A323)=0,"",INDEX('Smelter Look-up'!$C:$C,MATCH($A323,'Smelter Look-up'!$E:$E,0)))</f>
        <v/>
      </c>
      <c r="D323" s="283"/>
      <c r="E323" s="217" t="str">
        <f ca="1">IF(ISERROR($V323),"",OFFSET('Smelter Look-up'!$D$4,$V323-4,0)&amp;"")</f>
        <v/>
      </c>
      <c r="F323" s="217" t="str">
        <f ca="1">IF(ISERROR($V323),"",OFFSET('Smelter Look-up'!$E$4,$V323-4,0))</f>
        <v/>
      </c>
      <c r="G323" s="217" t="str">
        <f ca="1">IF(C323=$X$4,"Enter smelter details",IF(ISERROR($V323),"",OFFSET('Smelter Look-up'!$F$4,$V323-4,0)))</f>
        <v/>
      </c>
      <c r="H323" s="218" t="str">
        <f ca="1">IF(ISERROR($V323),"",OFFSET('Smelter Look-up'!$G$4,$V323-4,0))</f>
        <v/>
      </c>
      <c r="I323" s="219" t="str">
        <f ca="1">IF(ISERROR($V323),"",OFFSET('Smelter Look-up'!$H$4,$V323-4,0))</f>
        <v/>
      </c>
      <c r="J323" s="219" t="str">
        <f ca="1">IF(ISERROR($V323),"",OFFSET('Smelter Look-up'!$I$4,$V323-4,0))</f>
        <v/>
      </c>
      <c r="K323" s="273"/>
      <c r="L323" s="273"/>
      <c r="M323" s="273"/>
      <c r="N323" s="273"/>
      <c r="O323" s="273"/>
      <c r="P323" s="220"/>
      <c r="Q323" s="274"/>
      <c r="R323" s="217" t="str">
        <f ca="1">IF(ISERROR($V323),"",OFFSET('Smelter Look-up'!$C$4,$V323-4,0)&amp;"")</f>
        <v/>
      </c>
      <c r="S323" s="225" t="str">
        <f t="shared" ca="1" si="42"/>
        <v/>
      </c>
      <c r="T323" s="225" t="str">
        <f ca="1">IF(B323="","",IF(ISERROR(MATCH($J323,SorP!$B$1:$B$6230,0)),"",INDIRECT("'SorP'!$A$"&amp;MATCH($J323,SorP!$B$1:$B$6230,0))))</f>
        <v/>
      </c>
      <c r="U323" s="241"/>
      <c r="V323" s="275" t="e">
        <f>IF(C323="",NA(),MATCH($B323&amp;$C323,'Smelter Look-up'!$J:$J,0))</f>
        <v>#N/A</v>
      </c>
      <c r="W323" s="276"/>
      <c r="X323" s="276">
        <f t="shared" ca="1" si="43"/>
        <v>0</v>
      </c>
      <c r="Y323" s="276"/>
      <c r="Z323" s="276"/>
      <c r="AB323" s="278" t="str">
        <f t="shared" si="44"/>
        <v/>
      </c>
    </row>
    <row r="324" spans="1:28" s="277" customFormat="1" ht="20.25">
      <c r="A324" s="216"/>
      <c r="B324" s="217" t="str">
        <f>IF(LEN(A324)=0,"",INDEX('Smelter Look-up'!$A:$A,MATCH($A324,'Smelter Look-up'!$E:$E,0)))</f>
        <v/>
      </c>
      <c r="C324" s="221" t="str">
        <f>IF(LEN(A324)=0,"",INDEX('Smelter Look-up'!$C:$C,MATCH($A324,'Smelter Look-up'!$E:$E,0)))</f>
        <v/>
      </c>
      <c r="D324" s="283"/>
      <c r="E324" s="217" t="str">
        <f ca="1">IF(ISERROR($V324),"",OFFSET('Smelter Look-up'!$D$4,$V324-4,0)&amp;"")</f>
        <v/>
      </c>
      <c r="F324" s="217" t="str">
        <f ca="1">IF(ISERROR($V324),"",OFFSET('Smelter Look-up'!$E$4,$V324-4,0))</f>
        <v/>
      </c>
      <c r="G324" s="217" t="str">
        <f ca="1">IF(C324=$X$4,"Enter smelter details",IF(ISERROR($V324),"",OFFSET('Smelter Look-up'!$F$4,$V324-4,0)))</f>
        <v/>
      </c>
      <c r="H324" s="218" t="str">
        <f ca="1">IF(ISERROR($V324),"",OFFSET('Smelter Look-up'!$G$4,$V324-4,0))</f>
        <v/>
      </c>
      <c r="I324" s="219" t="str">
        <f ca="1">IF(ISERROR($V324),"",OFFSET('Smelter Look-up'!$H$4,$V324-4,0))</f>
        <v/>
      </c>
      <c r="J324" s="219" t="str">
        <f ca="1">IF(ISERROR($V324),"",OFFSET('Smelter Look-up'!$I$4,$V324-4,0))</f>
        <v/>
      </c>
      <c r="K324" s="273"/>
      <c r="L324" s="273"/>
      <c r="M324" s="273"/>
      <c r="N324" s="273"/>
      <c r="O324" s="273"/>
      <c r="P324" s="220"/>
      <c r="Q324" s="274"/>
      <c r="R324" s="217" t="str">
        <f ca="1">IF(ISERROR($V324),"",OFFSET('Smelter Look-up'!$C$4,$V324-4,0)&amp;"")</f>
        <v/>
      </c>
      <c r="S324" s="225" t="str">
        <f t="shared" ca="1" si="42"/>
        <v/>
      </c>
      <c r="T324" s="225" t="str">
        <f ca="1">IF(B324="","",IF(ISERROR(MATCH($J324,SorP!$B$1:$B$6230,0)),"",INDIRECT("'SorP'!$A$"&amp;MATCH($J324,SorP!$B$1:$B$6230,0))))</f>
        <v/>
      </c>
      <c r="U324" s="241"/>
      <c r="V324" s="275" t="e">
        <f>IF(C324="",NA(),MATCH($B324&amp;$C324,'Smelter Look-up'!$J:$J,0))</f>
        <v>#N/A</v>
      </c>
      <c r="W324" s="276"/>
      <c r="X324" s="276">
        <f t="shared" ca="1" si="43"/>
        <v>0</v>
      </c>
      <c r="Y324" s="276"/>
      <c r="Z324" s="276"/>
      <c r="AB324" s="278" t="str">
        <f t="shared" si="44"/>
        <v/>
      </c>
    </row>
    <row r="325" spans="1:28" s="277" customFormat="1" ht="20.25">
      <c r="A325" s="216"/>
      <c r="B325" s="217" t="str">
        <f>IF(LEN(A325)=0,"",INDEX('Smelter Look-up'!$A:$A,MATCH($A325,'Smelter Look-up'!$E:$E,0)))</f>
        <v/>
      </c>
      <c r="C325" s="221" t="str">
        <f>IF(LEN(A325)=0,"",INDEX('Smelter Look-up'!$C:$C,MATCH($A325,'Smelter Look-up'!$E:$E,0)))</f>
        <v/>
      </c>
      <c r="D325" s="283"/>
      <c r="E325" s="217" t="str">
        <f ca="1">IF(ISERROR($V325),"",OFFSET('Smelter Look-up'!$D$4,$V325-4,0)&amp;"")</f>
        <v/>
      </c>
      <c r="F325" s="217" t="str">
        <f ca="1">IF(ISERROR($V325),"",OFFSET('Smelter Look-up'!$E$4,$V325-4,0))</f>
        <v/>
      </c>
      <c r="G325" s="217" t="str">
        <f ca="1">IF(C325=$X$4,"Enter smelter details",IF(ISERROR($V325),"",OFFSET('Smelter Look-up'!$F$4,$V325-4,0)))</f>
        <v/>
      </c>
      <c r="H325" s="218" t="str">
        <f ca="1">IF(ISERROR($V325),"",OFFSET('Smelter Look-up'!$G$4,$V325-4,0))</f>
        <v/>
      </c>
      <c r="I325" s="219" t="str">
        <f ca="1">IF(ISERROR($V325),"",OFFSET('Smelter Look-up'!$H$4,$V325-4,0))</f>
        <v/>
      </c>
      <c r="J325" s="219" t="str">
        <f ca="1">IF(ISERROR($V325),"",OFFSET('Smelter Look-up'!$I$4,$V325-4,0))</f>
        <v/>
      </c>
      <c r="K325" s="273"/>
      <c r="L325" s="273"/>
      <c r="M325" s="273"/>
      <c r="N325" s="273"/>
      <c r="O325" s="273"/>
      <c r="P325" s="220"/>
      <c r="Q325" s="274"/>
      <c r="R325" s="217" t="str">
        <f ca="1">IF(ISERROR($V325),"",OFFSET('Smelter Look-up'!$C$4,$V325-4,0)&amp;"")</f>
        <v/>
      </c>
      <c r="S325" s="225" t="str">
        <f t="shared" ref="S325" ca="1" si="45">IF(B325="","",IF(ISERROR(MATCH($E325,CL,0)),"Unknown",INDIRECT("'C'!$A$"&amp;MATCH($E325,CL,0)+1)))</f>
        <v/>
      </c>
      <c r="T325" s="225" t="str">
        <f ca="1">IF(B325="","",IF(ISERROR(MATCH($J325,SorP!$B$1:$B$6230,0)),"",INDIRECT("'SorP'!$A$"&amp;MATCH($J325,SorP!$B$1:$B$6230,0))))</f>
        <v/>
      </c>
      <c r="U325" s="241"/>
      <c r="V325" s="275" t="e">
        <f>IF(C325="",NA(),MATCH($B325&amp;$C325,'Smelter Look-up'!$J:$J,0))</f>
        <v>#N/A</v>
      </c>
      <c r="W325" s="276"/>
      <c r="X325" s="276">
        <f t="shared" ref="X325" ca="1" si="46">IF(AND(C325="Smelter not listed",OR(LEN(D325)=0,LEN(E325)=0)),1,0)</f>
        <v>0</v>
      </c>
      <c r="Y325" s="276"/>
      <c r="Z325" s="276"/>
      <c r="AB325" s="278" t="str">
        <f t="shared" ref="AB325" si="47">B325&amp;C325</f>
        <v/>
      </c>
    </row>
    <row r="326" spans="1:28" s="277" customFormat="1" ht="20.25">
      <c r="A326" s="216"/>
      <c r="B326" s="217" t="str">
        <f>IF(LEN(A326)=0,"",INDEX('Smelter Look-up'!$A:$A,MATCH($A326,'Smelter Look-up'!$E:$E,0)))</f>
        <v/>
      </c>
      <c r="C326" s="221" t="str">
        <f>IF(LEN(A326)=0,"",INDEX('Smelter Look-up'!$C:$C,MATCH($A326,'Smelter Look-up'!$E:$E,0)))</f>
        <v/>
      </c>
      <c r="D326" s="283"/>
      <c r="E326" s="217" t="str">
        <f ca="1">IF(ISERROR($V326),"",OFFSET('Smelter Look-up'!$D$4,$V326-4,0)&amp;"")</f>
        <v/>
      </c>
      <c r="F326" s="217" t="str">
        <f ca="1">IF(ISERROR($V326),"",OFFSET('Smelter Look-up'!$E$4,$V326-4,0))</f>
        <v/>
      </c>
      <c r="G326" s="217" t="str">
        <f ca="1">IF(C326=$X$4,"Enter smelter details",IF(ISERROR($V326),"",OFFSET('Smelter Look-up'!$F$4,$V326-4,0)))</f>
        <v/>
      </c>
      <c r="H326" s="218" t="str">
        <f ca="1">IF(ISERROR($V326),"",OFFSET('Smelter Look-up'!$G$4,$V326-4,0))</f>
        <v/>
      </c>
      <c r="I326" s="219" t="str">
        <f ca="1">IF(ISERROR($V326),"",OFFSET('Smelter Look-up'!$H$4,$V326-4,0))</f>
        <v/>
      </c>
      <c r="J326" s="219" t="str">
        <f ca="1">IF(ISERROR($V326),"",OFFSET('Smelter Look-up'!$I$4,$V326-4,0))</f>
        <v/>
      </c>
      <c r="K326" s="273"/>
      <c r="L326" s="273"/>
      <c r="M326" s="273"/>
      <c r="N326" s="273"/>
      <c r="O326" s="273"/>
      <c r="P326" s="220"/>
      <c r="Q326" s="274"/>
      <c r="R326" s="217" t="str">
        <f ca="1">IF(ISERROR($V326),"",OFFSET('Smelter Look-up'!$C$4,$V326-4,0)&amp;"")</f>
        <v/>
      </c>
      <c r="S326" s="225" t="str">
        <f t="shared" ref="S326:S357" ca="1" si="48">IF(B326="","",IF(ISERROR(MATCH($E326,CL,0)),"Unknown",INDIRECT("'C'!$A$"&amp;MATCH($E326,CL,0)+1)))</f>
        <v/>
      </c>
      <c r="T326" s="225" t="str">
        <f ca="1">IF(B326="","",IF(ISERROR(MATCH($J326,SorP!$B$1:$B$6230,0)),"",INDIRECT("'SorP'!$A$"&amp;MATCH($J326,SorP!$B$1:$B$6230,0))))</f>
        <v/>
      </c>
      <c r="U326" s="241"/>
      <c r="V326" s="275" t="e">
        <f>IF(C326="",NA(),MATCH($B326&amp;$C326,'Smelter Look-up'!$J:$J,0))</f>
        <v>#N/A</v>
      </c>
      <c r="W326" s="276"/>
      <c r="X326" s="276">
        <f t="shared" ref="X326:X357" ca="1" si="49">IF(AND(C326="Smelter not listed",OR(LEN(D326)=0,LEN(E326)=0)),1,0)</f>
        <v>0</v>
      </c>
      <c r="Y326" s="276"/>
      <c r="Z326" s="276"/>
      <c r="AB326" s="278" t="str">
        <f t="shared" ref="AB326:AB357" si="50">B326&amp;C326</f>
        <v/>
      </c>
    </row>
    <row r="327" spans="1:28" s="277" customFormat="1" ht="20.25">
      <c r="A327" s="216"/>
      <c r="B327" s="217" t="str">
        <f>IF(LEN(A327)=0,"",INDEX('Smelter Look-up'!$A:$A,MATCH($A327,'Smelter Look-up'!$E:$E,0)))</f>
        <v/>
      </c>
      <c r="C327" s="221" t="str">
        <f>IF(LEN(A327)=0,"",INDEX('Smelter Look-up'!$C:$C,MATCH($A327,'Smelter Look-up'!$E:$E,0)))</f>
        <v/>
      </c>
      <c r="D327" s="283"/>
      <c r="E327" s="217" t="str">
        <f ca="1">IF(ISERROR($V327),"",OFFSET('Smelter Look-up'!$D$4,$V327-4,0)&amp;"")</f>
        <v/>
      </c>
      <c r="F327" s="217" t="str">
        <f ca="1">IF(ISERROR($V327),"",OFFSET('Smelter Look-up'!$E$4,$V327-4,0))</f>
        <v/>
      </c>
      <c r="G327" s="217" t="str">
        <f ca="1">IF(C327=$X$4,"Enter smelter details",IF(ISERROR($V327),"",OFFSET('Smelter Look-up'!$F$4,$V327-4,0)))</f>
        <v/>
      </c>
      <c r="H327" s="218" t="str">
        <f ca="1">IF(ISERROR($V327),"",OFFSET('Smelter Look-up'!$G$4,$V327-4,0))</f>
        <v/>
      </c>
      <c r="I327" s="219" t="str">
        <f ca="1">IF(ISERROR($V327),"",OFFSET('Smelter Look-up'!$H$4,$V327-4,0))</f>
        <v/>
      </c>
      <c r="J327" s="219" t="str">
        <f ca="1">IF(ISERROR($V327),"",OFFSET('Smelter Look-up'!$I$4,$V327-4,0))</f>
        <v/>
      </c>
      <c r="K327" s="273"/>
      <c r="L327" s="273"/>
      <c r="M327" s="273"/>
      <c r="N327" s="273"/>
      <c r="O327" s="273"/>
      <c r="P327" s="220"/>
      <c r="Q327" s="274"/>
      <c r="R327" s="217" t="str">
        <f ca="1">IF(ISERROR($V327),"",OFFSET('Smelter Look-up'!$C$4,$V327-4,0)&amp;"")</f>
        <v/>
      </c>
      <c r="S327" s="225" t="str">
        <f t="shared" ca="1" si="48"/>
        <v/>
      </c>
      <c r="T327" s="225" t="str">
        <f ca="1">IF(B327="","",IF(ISERROR(MATCH($J327,SorP!$B$1:$B$6230,0)),"",INDIRECT("'SorP'!$A$"&amp;MATCH($J327,SorP!$B$1:$B$6230,0))))</f>
        <v/>
      </c>
      <c r="U327" s="241"/>
      <c r="V327" s="275" t="e">
        <f>IF(C327="",NA(),MATCH($B327&amp;$C327,'Smelter Look-up'!$J:$J,0))</f>
        <v>#N/A</v>
      </c>
      <c r="W327" s="276"/>
      <c r="X327" s="276">
        <f t="shared" ca="1" si="49"/>
        <v>0</v>
      </c>
      <c r="Y327" s="276"/>
      <c r="Z327" s="276"/>
      <c r="AB327" s="278" t="str">
        <f t="shared" si="50"/>
        <v/>
      </c>
    </row>
    <row r="328" spans="1:28" s="277" customFormat="1" ht="20.25">
      <c r="A328" s="216"/>
      <c r="B328" s="217" t="str">
        <f>IF(LEN(A328)=0,"",INDEX('Smelter Look-up'!$A:$A,MATCH($A328,'Smelter Look-up'!$E:$E,0)))</f>
        <v/>
      </c>
      <c r="C328" s="221" t="str">
        <f>IF(LEN(A328)=0,"",INDEX('Smelter Look-up'!$C:$C,MATCH($A328,'Smelter Look-up'!$E:$E,0)))</f>
        <v/>
      </c>
      <c r="D328" s="283"/>
      <c r="E328" s="217" t="str">
        <f ca="1">IF(ISERROR($V328),"",OFFSET('Smelter Look-up'!$D$4,$V328-4,0)&amp;"")</f>
        <v/>
      </c>
      <c r="F328" s="217" t="str">
        <f ca="1">IF(ISERROR($V328),"",OFFSET('Smelter Look-up'!$E$4,$V328-4,0))</f>
        <v/>
      </c>
      <c r="G328" s="217" t="str">
        <f ca="1">IF(C328=$X$4,"Enter smelter details",IF(ISERROR($V328),"",OFFSET('Smelter Look-up'!$F$4,$V328-4,0)))</f>
        <v/>
      </c>
      <c r="H328" s="218" t="str">
        <f ca="1">IF(ISERROR($V328),"",OFFSET('Smelter Look-up'!$G$4,$V328-4,0))</f>
        <v/>
      </c>
      <c r="I328" s="219" t="str">
        <f ca="1">IF(ISERROR($V328),"",OFFSET('Smelter Look-up'!$H$4,$V328-4,0))</f>
        <v/>
      </c>
      <c r="J328" s="219" t="str">
        <f ca="1">IF(ISERROR($V328),"",OFFSET('Smelter Look-up'!$I$4,$V328-4,0))</f>
        <v/>
      </c>
      <c r="K328" s="273"/>
      <c r="L328" s="273"/>
      <c r="M328" s="273"/>
      <c r="N328" s="273"/>
      <c r="O328" s="273"/>
      <c r="P328" s="220"/>
      <c r="Q328" s="274"/>
      <c r="R328" s="217" t="str">
        <f ca="1">IF(ISERROR($V328),"",OFFSET('Smelter Look-up'!$C$4,$V328-4,0)&amp;"")</f>
        <v/>
      </c>
      <c r="S328" s="225" t="str">
        <f t="shared" ca="1" si="48"/>
        <v/>
      </c>
      <c r="T328" s="225" t="str">
        <f ca="1">IF(B328="","",IF(ISERROR(MATCH($J328,SorP!$B$1:$B$6230,0)),"",INDIRECT("'SorP'!$A$"&amp;MATCH($J328,SorP!$B$1:$B$6230,0))))</f>
        <v/>
      </c>
      <c r="U328" s="241"/>
      <c r="V328" s="275" t="e">
        <f>IF(C328="",NA(),MATCH($B328&amp;$C328,'Smelter Look-up'!$J:$J,0))</f>
        <v>#N/A</v>
      </c>
      <c r="W328" s="276"/>
      <c r="X328" s="276">
        <f t="shared" ca="1" si="49"/>
        <v>0</v>
      </c>
      <c r="Y328" s="276"/>
      <c r="Z328" s="276"/>
      <c r="AB328" s="278" t="str">
        <f t="shared" si="50"/>
        <v/>
      </c>
    </row>
    <row r="329" spans="1:28" s="277" customFormat="1" ht="20.25">
      <c r="A329" s="216"/>
      <c r="B329" s="217" t="str">
        <f>IF(LEN(A329)=0,"",INDEX('Smelter Look-up'!$A:$A,MATCH($A329,'Smelter Look-up'!$E:$E,0)))</f>
        <v/>
      </c>
      <c r="C329" s="221" t="str">
        <f>IF(LEN(A329)=0,"",INDEX('Smelter Look-up'!$C:$C,MATCH($A329,'Smelter Look-up'!$E:$E,0)))</f>
        <v/>
      </c>
      <c r="D329" s="283"/>
      <c r="E329" s="217" t="str">
        <f ca="1">IF(ISERROR($V329),"",OFFSET('Smelter Look-up'!$D$4,$V329-4,0)&amp;"")</f>
        <v/>
      </c>
      <c r="F329" s="217" t="str">
        <f ca="1">IF(ISERROR($V329),"",OFFSET('Smelter Look-up'!$E$4,$V329-4,0))</f>
        <v/>
      </c>
      <c r="G329" s="217" t="str">
        <f ca="1">IF(C329=$X$4,"Enter smelter details",IF(ISERROR($V329),"",OFFSET('Smelter Look-up'!$F$4,$V329-4,0)))</f>
        <v/>
      </c>
      <c r="H329" s="218" t="str">
        <f ca="1">IF(ISERROR($V329),"",OFFSET('Smelter Look-up'!$G$4,$V329-4,0))</f>
        <v/>
      </c>
      <c r="I329" s="219" t="str">
        <f ca="1">IF(ISERROR($V329),"",OFFSET('Smelter Look-up'!$H$4,$V329-4,0))</f>
        <v/>
      </c>
      <c r="J329" s="219" t="str">
        <f ca="1">IF(ISERROR($V329),"",OFFSET('Smelter Look-up'!$I$4,$V329-4,0))</f>
        <v/>
      </c>
      <c r="K329" s="273"/>
      <c r="L329" s="273"/>
      <c r="M329" s="273"/>
      <c r="N329" s="273"/>
      <c r="O329" s="273"/>
      <c r="P329" s="220"/>
      <c r="Q329" s="274"/>
      <c r="R329" s="217" t="str">
        <f ca="1">IF(ISERROR($V329),"",OFFSET('Smelter Look-up'!$C$4,$V329-4,0)&amp;"")</f>
        <v/>
      </c>
      <c r="S329" s="225" t="str">
        <f t="shared" ca="1" si="48"/>
        <v/>
      </c>
      <c r="T329" s="225" t="str">
        <f ca="1">IF(B329="","",IF(ISERROR(MATCH($J329,SorP!$B$1:$B$6230,0)),"",INDIRECT("'SorP'!$A$"&amp;MATCH($J329,SorP!$B$1:$B$6230,0))))</f>
        <v/>
      </c>
      <c r="U329" s="241"/>
      <c r="V329" s="275" t="e">
        <f>IF(C329="",NA(),MATCH($B329&amp;$C329,'Smelter Look-up'!$J:$J,0))</f>
        <v>#N/A</v>
      </c>
      <c r="W329" s="276"/>
      <c r="X329" s="276">
        <f t="shared" ca="1" si="49"/>
        <v>0</v>
      </c>
      <c r="Y329" s="276"/>
      <c r="Z329" s="276"/>
      <c r="AB329" s="278" t="str">
        <f t="shared" si="50"/>
        <v/>
      </c>
    </row>
    <row r="330" spans="1:28" s="277" customFormat="1" ht="20.25">
      <c r="A330" s="216"/>
      <c r="B330" s="217" t="str">
        <f>IF(LEN(A330)=0,"",INDEX('Smelter Look-up'!$A:$A,MATCH($A330,'Smelter Look-up'!$E:$E,0)))</f>
        <v/>
      </c>
      <c r="C330" s="221" t="str">
        <f>IF(LEN(A330)=0,"",INDEX('Smelter Look-up'!$C:$C,MATCH($A330,'Smelter Look-up'!$E:$E,0)))</f>
        <v/>
      </c>
      <c r="D330" s="283"/>
      <c r="E330" s="217" t="str">
        <f ca="1">IF(ISERROR($V330),"",OFFSET('Smelter Look-up'!$D$4,$V330-4,0)&amp;"")</f>
        <v/>
      </c>
      <c r="F330" s="217" t="str">
        <f ca="1">IF(ISERROR($V330),"",OFFSET('Smelter Look-up'!$E$4,$V330-4,0))</f>
        <v/>
      </c>
      <c r="G330" s="217" t="str">
        <f ca="1">IF(C330=$X$4,"Enter smelter details",IF(ISERROR($V330),"",OFFSET('Smelter Look-up'!$F$4,$V330-4,0)))</f>
        <v/>
      </c>
      <c r="H330" s="218" t="str">
        <f ca="1">IF(ISERROR($V330),"",OFFSET('Smelter Look-up'!$G$4,$V330-4,0))</f>
        <v/>
      </c>
      <c r="I330" s="219" t="str">
        <f ca="1">IF(ISERROR($V330),"",OFFSET('Smelter Look-up'!$H$4,$V330-4,0))</f>
        <v/>
      </c>
      <c r="J330" s="219" t="str">
        <f ca="1">IF(ISERROR($V330),"",OFFSET('Smelter Look-up'!$I$4,$V330-4,0))</f>
        <v/>
      </c>
      <c r="K330" s="273"/>
      <c r="L330" s="273"/>
      <c r="M330" s="273"/>
      <c r="N330" s="273"/>
      <c r="O330" s="273"/>
      <c r="P330" s="220"/>
      <c r="Q330" s="274"/>
      <c r="R330" s="217" t="str">
        <f ca="1">IF(ISERROR($V330),"",OFFSET('Smelter Look-up'!$C$4,$V330-4,0)&amp;"")</f>
        <v/>
      </c>
      <c r="S330" s="225" t="str">
        <f t="shared" ca="1" si="48"/>
        <v/>
      </c>
      <c r="T330" s="225" t="str">
        <f ca="1">IF(B330="","",IF(ISERROR(MATCH($J330,SorP!$B$1:$B$6230,0)),"",INDIRECT("'SorP'!$A$"&amp;MATCH($J330,SorP!$B$1:$B$6230,0))))</f>
        <v/>
      </c>
      <c r="U330" s="241"/>
      <c r="V330" s="275" t="e">
        <f>IF(C330="",NA(),MATCH($B330&amp;$C330,'Smelter Look-up'!$J:$J,0))</f>
        <v>#N/A</v>
      </c>
      <c r="W330" s="276"/>
      <c r="X330" s="276">
        <f t="shared" ca="1" si="49"/>
        <v>0</v>
      </c>
      <c r="Y330" s="276"/>
      <c r="Z330" s="276"/>
      <c r="AB330" s="278" t="str">
        <f t="shared" si="50"/>
        <v/>
      </c>
    </row>
    <row r="331" spans="1:28" s="277" customFormat="1" ht="20.25">
      <c r="A331" s="216"/>
      <c r="B331" s="217" t="str">
        <f>IF(LEN(A331)=0,"",INDEX('Smelter Look-up'!$A:$A,MATCH($A331,'Smelter Look-up'!$E:$E,0)))</f>
        <v/>
      </c>
      <c r="C331" s="221" t="str">
        <f>IF(LEN(A331)=0,"",INDEX('Smelter Look-up'!$C:$C,MATCH($A331,'Smelter Look-up'!$E:$E,0)))</f>
        <v/>
      </c>
      <c r="D331" s="283"/>
      <c r="E331" s="217" t="str">
        <f ca="1">IF(ISERROR($V331),"",OFFSET('Smelter Look-up'!$D$4,$V331-4,0)&amp;"")</f>
        <v/>
      </c>
      <c r="F331" s="217" t="str">
        <f ca="1">IF(ISERROR($V331),"",OFFSET('Smelter Look-up'!$E$4,$V331-4,0))</f>
        <v/>
      </c>
      <c r="G331" s="217" t="str">
        <f ca="1">IF(C331=$X$4,"Enter smelter details",IF(ISERROR($V331),"",OFFSET('Smelter Look-up'!$F$4,$V331-4,0)))</f>
        <v/>
      </c>
      <c r="H331" s="218" t="str">
        <f ca="1">IF(ISERROR($V331),"",OFFSET('Smelter Look-up'!$G$4,$V331-4,0))</f>
        <v/>
      </c>
      <c r="I331" s="219" t="str">
        <f ca="1">IF(ISERROR($V331),"",OFFSET('Smelter Look-up'!$H$4,$V331-4,0))</f>
        <v/>
      </c>
      <c r="J331" s="219" t="str">
        <f ca="1">IF(ISERROR($V331),"",OFFSET('Smelter Look-up'!$I$4,$V331-4,0))</f>
        <v/>
      </c>
      <c r="K331" s="273"/>
      <c r="L331" s="273"/>
      <c r="M331" s="273"/>
      <c r="N331" s="273"/>
      <c r="O331" s="273"/>
      <c r="P331" s="220"/>
      <c r="Q331" s="274"/>
      <c r="R331" s="217" t="str">
        <f ca="1">IF(ISERROR($V331),"",OFFSET('Smelter Look-up'!$C$4,$V331-4,0)&amp;"")</f>
        <v/>
      </c>
      <c r="S331" s="225" t="str">
        <f t="shared" ca="1" si="48"/>
        <v/>
      </c>
      <c r="T331" s="225" t="str">
        <f ca="1">IF(B331="","",IF(ISERROR(MATCH($J331,SorP!$B$1:$B$6230,0)),"",INDIRECT("'SorP'!$A$"&amp;MATCH($J331,SorP!$B$1:$B$6230,0))))</f>
        <v/>
      </c>
      <c r="U331" s="241"/>
      <c r="V331" s="275" t="e">
        <f>IF(C331="",NA(),MATCH($B331&amp;$C331,'Smelter Look-up'!$J:$J,0))</f>
        <v>#N/A</v>
      </c>
      <c r="W331" s="276"/>
      <c r="X331" s="276">
        <f t="shared" ca="1" si="49"/>
        <v>0</v>
      </c>
      <c r="Y331" s="276"/>
      <c r="Z331" s="276"/>
      <c r="AB331" s="278" t="str">
        <f t="shared" si="50"/>
        <v/>
      </c>
    </row>
    <row r="332" spans="1:28" s="277" customFormat="1" ht="20.25">
      <c r="A332" s="216"/>
      <c r="B332" s="217" t="str">
        <f>IF(LEN(A332)=0,"",INDEX('Smelter Look-up'!$A:$A,MATCH($A332,'Smelter Look-up'!$E:$E,0)))</f>
        <v/>
      </c>
      <c r="C332" s="221" t="str">
        <f>IF(LEN(A332)=0,"",INDEX('Smelter Look-up'!$C:$C,MATCH($A332,'Smelter Look-up'!$E:$E,0)))</f>
        <v/>
      </c>
      <c r="D332" s="283"/>
      <c r="E332" s="217" t="str">
        <f ca="1">IF(ISERROR($V332),"",OFFSET('Smelter Look-up'!$D$4,$V332-4,0)&amp;"")</f>
        <v/>
      </c>
      <c r="F332" s="217" t="str">
        <f ca="1">IF(ISERROR($V332),"",OFFSET('Smelter Look-up'!$E$4,$V332-4,0))</f>
        <v/>
      </c>
      <c r="G332" s="217" t="str">
        <f ca="1">IF(C332=$X$4,"Enter smelter details",IF(ISERROR($V332),"",OFFSET('Smelter Look-up'!$F$4,$V332-4,0)))</f>
        <v/>
      </c>
      <c r="H332" s="218" t="str">
        <f ca="1">IF(ISERROR($V332),"",OFFSET('Smelter Look-up'!$G$4,$V332-4,0))</f>
        <v/>
      </c>
      <c r="I332" s="219" t="str">
        <f ca="1">IF(ISERROR($V332),"",OFFSET('Smelter Look-up'!$H$4,$V332-4,0))</f>
        <v/>
      </c>
      <c r="J332" s="219" t="str">
        <f ca="1">IF(ISERROR($V332),"",OFFSET('Smelter Look-up'!$I$4,$V332-4,0))</f>
        <v/>
      </c>
      <c r="K332" s="273"/>
      <c r="L332" s="273"/>
      <c r="M332" s="273"/>
      <c r="N332" s="273"/>
      <c r="O332" s="273"/>
      <c r="P332" s="220"/>
      <c r="Q332" s="274"/>
      <c r="R332" s="217" t="str">
        <f ca="1">IF(ISERROR($V332),"",OFFSET('Smelter Look-up'!$C$4,$V332-4,0)&amp;"")</f>
        <v/>
      </c>
      <c r="S332" s="225" t="str">
        <f t="shared" ca="1" si="48"/>
        <v/>
      </c>
      <c r="T332" s="225" t="str">
        <f ca="1">IF(B332="","",IF(ISERROR(MATCH($J332,SorP!$B$1:$B$6230,0)),"",INDIRECT("'SorP'!$A$"&amp;MATCH($J332,SorP!$B$1:$B$6230,0))))</f>
        <v/>
      </c>
      <c r="U332" s="241"/>
      <c r="V332" s="275" t="e">
        <f>IF(C332="",NA(),MATCH($B332&amp;$C332,'Smelter Look-up'!$J:$J,0))</f>
        <v>#N/A</v>
      </c>
      <c r="W332" s="276"/>
      <c r="X332" s="276">
        <f t="shared" ca="1" si="49"/>
        <v>0</v>
      </c>
      <c r="Y332" s="276"/>
      <c r="Z332" s="276"/>
      <c r="AB332" s="278" t="str">
        <f t="shared" si="50"/>
        <v/>
      </c>
    </row>
    <row r="333" spans="1:28" s="277" customFormat="1" ht="20.25">
      <c r="A333" s="216"/>
      <c r="B333" s="217" t="str">
        <f>IF(LEN(A333)=0,"",INDEX('Smelter Look-up'!$A:$A,MATCH($A333,'Smelter Look-up'!$E:$E,0)))</f>
        <v/>
      </c>
      <c r="C333" s="221" t="str">
        <f>IF(LEN(A333)=0,"",INDEX('Smelter Look-up'!$C:$C,MATCH($A333,'Smelter Look-up'!$E:$E,0)))</f>
        <v/>
      </c>
      <c r="D333" s="283"/>
      <c r="E333" s="217" t="str">
        <f ca="1">IF(ISERROR($V333),"",OFFSET('Smelter Look-up'!$D$4,$V333-4,0)&amp;"")</f>
        <v/>
      </c>
      <c r="F333" s="217" t="str">
        <f ca="1">IF(ISERROR($V333),"",OFFSET('Smelter Look-up'!$E$4,$V333-4,0))</f>
        <v/>
      </c>
      <c r="G333" s="217" t="str">
        <f ca="1">IF(C333=$X$4,"Enter smelter details",IF(ISERROR($V333),"",OFFSET('Smelter Look-up'!$F$4,$V333-4,0)))</f>
        <v/>
      </c>
      <c r="H333" s="218" t="str">
        <f ca="1">IF(ISERROR($V333),"",OFFSET('Smelter Look-up'!$G$4,$V333-4,0))</f>
        <v/>
      </c>
      <c r="I333" s="219" t="str">
        <f ca="1">IF(ISERROR($V333),"",OFFSET('Smelter Look-up'!$H$4,$V333-4,0))</f>
        <v/>
      </c>
      <c r="J333" s="219" t="str">
        <f ca="1">IF(ISERROR($V333),"",OFFSET('Smelter Look-up'!$I$4,$V333-4,0))</f>
        <v/>
      </c>
      <c r="K333" s="273"/>
      <c r="L333" s="273"/>
      <c r="M333" s="273"/>
      <c r="N333" s="273"/>
      <c r="O333" s="273"/>
      <c r="P333" s="220"/>
      <c r="Q333" s="274"/>
      <c r="R333" s="217" t="str">
        <f ca="1">IF(ISERROR($V333),"",OFFSET('Smelter Look-up'!$C$4,$V333-4,0)&amp;"")</f>
        <v/>
      </c>
      <c r="S333" s="225" t="str">
        <f t="shared" ca="1" si="48"/>
        <v/>
      </c>
      <c r="T333" s="225" t="str">
        <f ca="1">IF(B333="","",IF(ISERROR(MATCH($J333,SorP!$B$1:$B$6230,0)),"",INDIRECT("'SorP'!$A$"&amp;MATCH($J333,SorP!$B$1:$B$6230,0))))</f>
        <v/>
      </c>
      <c r="U333" s="241"/>
      <c r="V333" s="275" t="e">
        <f>IF(C333="",NA(),MATCH($B333&amp;$C333,'Smelter Look-up'!$J:$J,0))</f>
        <v>#N/A</v>
      </c>
      <c r="W333" s="276"/>
      <c r="X333" s="276">
        <f t="shared" ca="1" si="49"/>
        <v>0</v>
      </c>
      <c r="Y333" s="276"/>
      <c r="Z333" s="276"/>
      <c r="AB333" s="278" t="str">
        <f t="shared" si="50"/>
        <v/>
      </c>
    </row>
    <row r="334" spans="1:28" s="277" customFormat="1" ht="20.25">
      <c r="A334" s="216"/>
      <c r="B334" s="217" t="str">
        <f>IF(LEN(A334)=0,"",INDEX('Smelter Look-up'!$A:$A,MATCH($A334,'Smelter Look-up'!$E:$E,0)))</f>
        <v/>
      </c>
      <c r="C334" s="221" t="str">
        <f>IF(LEN(A334)=0,"",INDEX('Smelter Look-up'!$C:$C,MATCH($A334,'Smelter Look-up'!$E:$E,0)))</f>
        <v/>
      </c>
      <c r="D334" s="283"/>
      <c r="E334" s="217" t="str">
        <f ca="1">IF(ISERROR($V334),"",OFFSET('Smelter Look-up'!$D$4,$V334-4,0)&amp;"")</f>
        <v/>
      </c>
      <c r="F334" s="217" t="str">
        <f ca="1">IF(ISERROR($V334),"",OFFSET('Smelter Look-up'!$E$4,$V334-4,0))</f>
        <v/>
      </c>
      <c r="G334" s="217" t="str">
        <f ca="1">IF(C334=$X$4,"Enter smelter details",IF(ISERROR($V334),"",OFFSET('Smelter Look-up'!$F$4,$V334-4,0)))</f>
        <v/>
      </c>
      <c r="H334" s="218" t="str">
        <f ca="1">IF(ISERROR($V334),"",OFFSET('Smelter Look-up'!$G$4,$V334-4,0))</f>
        <v/>
      </c>
      <c r="I334" s="219" t="str">
        <f ca="1">IF(ISERROR($V334),"",OFFSET('Smelter Look-up'!$H$4,$V334-4,0))</f>
        <v/>
      </c>
      <c r="J334" s="219" t="str">
        <f ca="1">IF(ISERROR($V334),"",OFFSET('Smelter Look-up'!$I$4,$V334-4,0))</f>
        <v/>
      </c>
      <c r="K334" s="273"/>
      <c r="L334" s="273"/>
      <c r="M334" s="273"/>
      <c r="N334" s="273"/>
      <c r="O334" s="273"/>
      <c r="P334" s="220"/>
      <c r="Q334" s="274"/>
      <c r="R334" s="217" t="str">
        <f ca="1">IF(ISERROR($V334),"",OFFSET('Smelter Look-up'!$C$4,$V334-4,0)&amp;"")</f>
        <v/>
      </c>
      <c r="S334" s="225" t="str">
        <f t="shared" ca="1" si="48"/>
        <v/>
      </c>
      <c r="T334" s="225" t="str">
        <f ca="1">IF(B334="","",IF(ISERROR(MATCH($J334,SorP!$B$1:$B$6230,0)),"",INDIRECT("'SorP'!$A$"&amp;MATCH($J334,SorP!$B$1:$B$6230,0))))</f>
        <v/>
      </c>
      <c r="U334" s="241"/>
      <c r="V334" s="275" t="e">
        <f>IF(C334="",NA(),MATCH($B334&amp;$C334,'Smelter Look-up'!$J:$J,0))</f>
        <v>#N/A</v>
      </c>
      <c r="W334" s="276"/>
      <c r="X334" s="276">
        <f t="shared" ca="1" si="49"/>
        <v>0</v>
      </c>
      <c r="Y334" s="276"/>
      <c r="Z334" s="276"/>
      <c r="AB334" s="278" t="str">
        <f t="shared" si="50"/>
        <v/>
      </c>
    </row>
    <row r="335" spans="1:28" s="277" customFormat="1" ht="20.25">
      <c r="A335" s="216"/>
      <c r="B335" s="217" t="str">
        <f>IF(LEN(A335)=0,"",INDEX('Smelter Look-up'!$A:$A,MATCH($A335,'Smelter Look-up'!$E:$E,0)))</f>
        <v/>
      </c>
      <c r="C335" s="221" t="str">
        <f>IF(LEN(A335)=0,"",INDEX('Smelter Look-up'!$C:$C,MATCH($A335,'Smelter Look-up'!$E:$E,0)))</f>
        <v/>
      </c>
      <c r="D335" s="283"/>
      <c r="E335" s="217" t="str">
        <f ca="1">IF(ISERROR($V335),"",OFFSET('Smelter Look-up'!$D$4,$V335-4,0)&amp;"")</f>
        <v/>
      </c>
      <c r="F335" s="217" t="str">
        <f ca="1">IF(ISERROR($V335),"",OFFSET('Smelter Look-up'!$E$4,$V335-4,0))</f>
        <v/>
      </c>
      <c r="G335" s="217" t="str">
        <f ca="1">IF(C335=$X$4,"Enter smelter details",IF(ISERROR($V335),"",OFFSET('Smelter Look-up'!$F$4,$V335-4,0)))</f>
        <v/>
      </c>
      <c r="H335" s="218" t="str">
        <f ca="1">IF(ISERROR($V335),"",OFFSET('Smelter Look-up'!$G$4,$V335-4,0))</f>
        <v/>
      </c>
      <c r="I335" s="219" t="str">
        <f ca="1">IF(ISERROR($V335),"",OFFSET('Smelter Look-up'!$H$4,$V335-4,0))</f>
        <v/>
      </c>
      <c r="J335" s="219" t="str">
        <f ca="1">IF(ISERROR($V335),"",OFFSET('Smelter Look-up'!$I$4,$V335-4,0))</f>
        <v/>
      </c>
      <c r="K335" s="273"/>
      <c r="L335" s="273"/>
      <c r="M335" s="273"/>
      <c r="N335" s="273"/>
      <c r="O335" s="273"/>
      <c r="P335" s="220"/>
      <c r="Q335" s="274"/>
      <c r="R335" s="217" t="str">
        <f ca="1">IF(ISERROR($V335),"",OFFSET('Smelter Look-up'!$C$4,$V335-4,0)&amp;"")</f>
        <v/>
      </c>
      <c r="S335" s="225" t="str">
        <f t="shared" ca="1" si="48"/>
        <v/>
      </c>
      <c r="T335" s="225" t="str">
        <f ca="1">IF(B335="","",IF(ISERROR(MATCH($J335,SorP!$B$1:$B$6230,0)),"",INDIRECT("'SorP'!$A$"&amp;MATCH($J335,SorP!$B$1:$B$6230,0))))</f>
        <v/>
      </c>
      <c r="U335" s="241"/>
      <c r="V335" s="275" t="e">
        <f>IF(C335="",NA(),MATCH($B335&amp;$C335,'Smelter Look-up'!$J:$J,0))</f>
        <v>#N/A</v>
      </c>
      <c r="W335" s="276"/>
      <c r="X335" s="276">
        <f t="shared" ca="1" si="49"/>
        <v>0</v>
      </c>
      <c r="Y335" s="276"/>
      <c r="Z335" s="276"/>
      <c r="AB335" s="278" t="str">
        <f t="shared" si="50"/>
        <v/>
      </c>
    </row>
    <row r="336" spans="1:28" s="277" customFormat="1" ht="20.25">
      <c r="A336" s="216"/>
      <c r="B336" s="217" t="str">
        <f>IF(LEN(A336)=0,"",INDEX('Smelter Look-up'!$A:$A,MATCH($A336,'Smelter Look-up'!$E:$E,0)))</f>
        <v/>
      </c>
      <c r="C336" s="221" t="str">
        <f>IF(LEN(A336)=0,"",INDEX('Smelter Look-up'!$C:$C,MATCH($A336,'Smelter Look-up'!$E:$E,0)))</f>
        <v/>
      </c>
      <c r="D336" s="283"/>
      <c r="E336" s="217" t="str">
        <f ca="1">IF(ISERROR($V336),"",OFFSET('Smelter Look-up'!$D$4,$V336-4,0)&amp;"")</f>
        <v/>
      </c>
      <c r="F336" s="217" t="str">
        <f ca="1">IF(ISERROR($V336),"",OFFSET('Smelter Look-up'!$E$4,$V336-4,0))</f>
        <v/>
      </c>
      <c r="G336" s="217" t="str">
        <f ca="1">IF(C336=$X$4,"Enter smelter details",IF(ISERROR($V336),"",OFFSET('Smelter Look-up'!$F$4,$V336-4,0)))</f>
        <v/>
      </c>
      <c r="H336" s="218" t="str">
        <f ca="1">IF(ISERROR($V336),"",OFFSET('Smelter Look-up'!$G$4,$V336-4,0))</f>
        <v/>
      </c>
      <c r="I336" s="219" t="str">
        <f ca="1">IF(ISERROR($V336),"",OFFSET('Smelter Look-up'!$H$4,$V336-4,0))</f>
        <v/>
      </c>
      <c r="J336" s="219" t="str">
        <f ca="1">IF(ISERROR($V336),"",OFFSET('Smelter Look-up'!$I$4,$V336-4,0))</f>
        <v/>
      </c>
      <c r="K336" s="273"/>
      <c r="L336" s="273"/>
      <c r="M336" s="273"/>
      <c r="N336" s="273"/>
      <c r="O336" s="273"/>
      <c r="P336" s="220"/>
      <c r="Q336" s="274"/>
      <c r="R336" s="217" t="str">
        <f ca="1">IF(ISERROR($V336),"",OFFSET('Smelter Look-up'!$C$4,$V336-4,0)&amp;"")</f>
        <v/>
      </c>
      <c r="S336" s="225" t="str">
        <f t="shared" ca="1" si="48"/>
        <v/>
      </c>
      <c r="T336" s="225" t="str">
        <f ca="1">IF(B336="","",IF(ISERROR(MATCH($J336,SorP!$B$1:$B$6230,0)),"",INDIRECT("'SorP'!$A$"&amp;MATCH($J336,SorP!$B$1:$B$6230,0))))</f>
        <v/>
      </c>
      <c r="U336" s="241"/>
      <c r="V336" s="275" t="e">
        <f>IF(C336="",NA(),MATCH($B336&amp;$C336,'Smelter Look-up'!$J:$J,0))</f>
        <v>#N/A</v>
      </c>
      <c r="W336" s="276"/>
      <c r="X336" s="276">
        <f t="shared" ca="1" si="49"/>
        <v>0</v>
      </c>
      <c r="Y336" s="276"/>
      <c r="Z336" s="276"/>
      <c r="AB336" s="278" t="str">
        <f t="shared" si="50"/>
        <v/>
      </c>
    </row>
    <row r="337" spans="1:28" s="277" customFormat="1" ht="20.25">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ca="1" si="48"/>
        <v/>
      </c>
      <c r="T337" s="225" t="str">
        <f ca="1">IF(B337="","",IF(ISERROR(MATCH($J337,SorP!$B$1:$B$6230,0)),"",INDIRECT("'SorP'!$A$"&amp;MATCH($J337,SorP!$B$1:$B$6230,0))))</f>
        <v/>
      </c>
      <c r="U337" s="241"/>
      <c r="V337" s="275" t="e">
        <f>IF(C337="",NA(),MATCH($B337&amp;$C337,'Smelter Look-up'!$J:$J,0))</f>
        <v>#N/A</v>
      </c>
      <c r="W337" s="276"/>
      <c r="X337" s="276">
        <f t="shared" ca="1" si="49"/>
        <v>0</v>
      </c>
      <c r="Y337" s="276"/>
      <c r="Z337" s="276"/>
      <c r="AB337" s="278" t="str">
        <f t="shared" si="50"/>
        <v/>
      </c>
    </row>
    <row r="338" spans="1:28" s="277" customFormat="1" ht="20.25">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48"/>
        <v/>
      </c>
      <c r="T338" s="225" t="str">
        <f ca="1">IF(B338="","",IF(ISERROR(MATCH($J338,SorP!$B$1:$B$6230,0)),"",INDIRECT("'SorP'!$A$"&amp;MATCH($J338,SorP!$B$1:$B$6230,0))))</f>
        <v/>
      </c>
      <c r="U338" s="241"/>
      <c r="V338" s="275" t="e">
        <f>IF(C338="",NA(),MATCH($B338&amp;$C338,'Smelter Look-up'!$J:$J,0))</f>
        <v>#N/A</v>
      </c>
      <c r="W338" s="276"/>
      <c r="X338" s="276">
        <f t="shared" ca="1" si="49"/>
        <v>0</v>
      </c>
      <c r="Y338" s="276"/>
      <c r="Z338" s="276"/>
      <c r="AB338" s="278" t="str">
        <f t="shared" si="50"/>
        <v/>
      </c>
    </row>
    <row r="339" spans="1:28" s="277" customFormat="1" ht="20.25">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48"/>
        <v/>
      </c>
      <c r="T339" s="225" t="str">
        <f ca="1">IF(B339="","",IF(ISERROR(MATCH($J339,SorP!$B$1:$B$6230,0)),"",INDIRECT("'SorP'!$A$"&amp;MATCH($J339,SorP!$B$1:$B$6230,0))))</f>
        <v/>
      </c>
      <c r="U339" s="241"/>
      <c r="V339" s="275" t="e">
        <f>IF(C339="",NA(),MATCH($B339&amp;$C339,'Smelter Look-up'!$J:$J,0))</f>
        <v>#N/A</v>
      </c>
      <c r="W339" s="276"/>
      <c r="X339" s="276">
        <f t="shared" ca="1" si="49"/>
        <v>0</v>
      </c>
      <c r="Y339" s="276"/>
      <c r="Z339" s="276"/>
      <c r="AB339" s="278" t="str">
        <f t="shared" si="50"/>
        <v/>
      </c>
    </row>
    <row r="340" spans="1:28" s="277" customFormat="1" ht="20.25">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48"/>
        <v/>
      </c>
      <c r="T340" s="225" t="str">
        <f ca="1">IF(B340="","",IF(ISERROR(MATCH($J340,SorP!$B$1:$B$6230,0)),"",INDIRECT("'SorP'!$A$"&amp;MATCH($J340,SorP!$B$1:$B$6230,0))))</f>
        <v/>
      </c>
      <c r="U340" s="241"/>
      <c r="V340" s="275" t="e">
        <f>IF(C340="",NA(),MATCH($B340&amp;$C340,'Smelter Look-up'!$J:$J,0))</f>
        <v>#N/A</v>
      </c>
      <c r="W340" s="276"/>
      <c r="X340" s="276">
        <f t="shared" ca="1" si="49"/>
        <v>0</v>
      </c>
      <c r="Y340" s="276"/>
      <c r="Z340" s="276"/>
      <c r="AB340" s="278" t="str">
        <f t="shared" si="50"/>
        <v/>
      </c>
    </row>
    <row r="341" spans="1:28" s="277" customFormat="1" ht="20.25">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48"/>
        <v/>
      </c>
      <c r="T341" s="225" t="str">
        <f ca="1">IF(B341="","",IF(ISERROR(MATCH($J341,SorP!$B$1:$B$6230,0)),"",INDIRECT("'SorP'!$A$"&amp;MATCH($J341,SorP!$B$1:$B$6230,0))))</f>
        <v/>
      </c>
      <c r="U341" s="241"/>
      <c r="V341" s="275" t="e">
        <f>IF(C341="",NA(),MATCH($B341&amp;$C341,'Smelter Look-up'!$J:$J,0))</f>
        <v>#N/A</v>
      </c>
      <c r="W341" s="276"/>
      <c r="X341" s="276">
        <f t="shared" ca="1" si="49"/>
        <v>0</v>
      </c>
      <c r="Y341" s="276"/>
      <c r="Z341" s="276"/>
      <c r="AB341" s="278" t="str">
        <f t="shared" si="50"/>
        <v/>
      </c>
    </row>
    <row r="342" spans="1:28" s="277" customFormat="1" ht="20.25">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48"/>
        <v/>
      </c>
      <c r="T342" s="225" t="str">
        <f ca="1">IF(B342="","",IF(ISERROR(MATCH($J342,SorP!$B$1:$B$6230,0)),"",INDIRECT("'SorP'!$A$"&amp;MATCH($J342,SorP!$B$1:$B$6230,0))))</f>
        <v/>
      </c>
      <c r="U342" s="241"/>
      <c r="V342" s="275" t="e">
        <f>IF(C342="",NA(),MATCH($B342&amp;$C342,'Smelter Look-up'!$J:$J,0))</f>
        <v>#N/A</v>
      </c>
      <c r="W342" s="276"/>
      <c r="X342" s="276">
        <f t="shared" ca="1" si="49"/>
        <v>0</v>
      </c>
      <c r="Y342" s="276"/>
      <c r="Z342" s="276"/>
      <c r="AB342" s="278" t="str">
        <f t="shared" si="50"/>
        <v/>
      </c>
    </row>
    <row r="343" spans="1:28" s="277" customFormat="1" ht="20.25">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48"/>
        <v/>
      </c>
      <c r="T343" s="225" t="str">
        <f ca="1">IF(B343="","",IF(ISERROR(MATCH($J343,SorP!$B$1:$B$6230,0)),"",INDIRECT("'SorP'!$A$"&amp;MATCH($J343,SorP!$B$1:$B$6230,0))))</f>
        <v/>
      </c>
      <c r="U343" s="241"/>
      <c r="V343" s="275" t="e">
        <f>IF(C343="",NA(),MATCH($B343&amp;$C343,'Smelter Look-up'!$J:$J,0))</f>
        <v>#N/A</v>
      </c>
      <c r="W343" s="276"/>
      <c r="X343" s="276">
        <f t="shared" ca="1" si="49"/>
        <v>0</v>
      </c>
      <c r="Y343" s="276"/>
      <c r="Z343" s="276"/>
      <c r="AB343" s="278" t="str">
        <f t="shared" si="50"/>
        <v/>
      </c>
    </row>
    <row r="344" spans="1:28" s="277" customFormat="1" ht="20.25">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48"/>
        <v/>
      </c>
      <c r="T344" s="225" t="str">
        <f ca="1">IF(B344="","",IF(ISERROR(MATCH($J344,SorP!$B$1:$B$6230,0)),"",INDIRECT("'SorP'!$A$"&amp;MATCH($J344,SorP!$B$1:$B$6230,0))))</f>
        <v/>
      </c>
      <c r="U344" s="241"/>
      <c r="V344" s="275" t="e">
        <f>IF(C344="",NA(),MATCH($B344&amp;$C344,'Smelter Look-up'!$J:$J,0))</f>
        <v>#N/A</v>
      </c>
      <c r="W344" s="276"/>
      <c r="X344" s="276">
        <f t="shared" ca="1" si="49"/>
        <v>0</v>
      </c>
      <c r="Y344" s="276"/>
      <c r="Z344" s="276"/>
      <c r="AB344" s="278" t="str">
        <f t="shared" si="50"/>
        <v/>
      </c>
    </row>
    <row r="345" spans="1:28" s="277" customFormat="1" ht="20.25">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48"/>
        <v/>
      </c>
      <c r="T345" s="225" t="str">
        <f ca="1">IF(B345="","",IF(ISERROR(MATCH($J345,SorP!$B$1:$B$6230,0)),"",INDIRECT("'SorP'!$A$"&amp;MATCH($J345,SorP!$B$1:$B$6230,0))))</f>
        <v/>
      </c>
      <c r="U345" s="241"/>
      <c r="V345" s="275" t="e">
        <f>IF(C345="",NA(),MATCH($B345&amp;$C345,'Smelter Look-up'!$J:$J,0))</f>
        <v>#N/A</v>
      </c>
      <c r="W345" s="276"/>
      <c r="X345" s="276">
        <f t="shared" ca="1" si="49"/>
        <v>0</v>
      </c>
      <c r="Y345" s="276"/>
      <c r="Z345" s="276"/>
      <c r="AB345" s="278" t="str">
        <f t="shared" si="50"/>
        <v/>
      </c>
    </row>
    <row r="346" spans="1:28" s="277" customFormat="1" ht="20.25">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ca="1" si="48"/>
        <v/>
      </c>
      <c r="T346" s="225" t="str">
        <f ca="1">IF(B346="","",IF(ISERROR(MATCH($J346,SorP!$B$1:$B$6230,0)),"",INDIRECT("'SorP'!$A$"&amp;MATCH($J346,SorP!$B$1:$B$6230,0))))</f>
        <v/>
      </c>
      <c r="U346" s="241"/>
      <c r="V346" s="275" t="e">
        <f>IF(C346="",NA(),MATCH($B346&amp;$C346,'Smelter Look-up'!$J:$J,0))</f>
        <v>#N/A</v>
      </c>
      <c r="W346" s="276"/>
      <c r="X346" s="276">
        <f t="shared" ca="1" si="49"/>
        <v>0</v>
      </c>
      <c r="Y346" s="276"/>
      <c r="Z346" s="276"/>
      <c r="AB346" s="278" t="str">
        <f t="shared" si="50"/>
        <v/>
      </c>
    </row>
    <row r="347" spans="1:28" s="277" customFormat="1" ht="20.25">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48"/>
        <v/>
      </c>
      <c r="T347" s="225" t="str">
        <f ca="1">IF(B347="","",IF(ISERROR(MATCH($J347,SorP!$B$1:$B$6230,0)),"",INDIRECT("'SorP'!$A$"&amp;MATCH($J347,SorP!$B$1:$B$6230,0))))</f>
        <v/>
      </c>
      <c r="U347" s="241"/>
      <c r="V347" s="275" t="e">
        <f>IF(C347="",NA(),MATCH($B347&amp;$C347,'Smelter Look-up'!$J:$J,0))</f>
        <v>#N/A</v>
      </c>
      <c r="W347" s="276"/>
      <c r="X347" s="276">
        <f t="shared" ca="1" si="49"/>
        <v>0</v>
      </c>
      <c r="Y347" s="276"/>
      <c r="Z347" s="276"/>
      <c r="AB347" s="278" t="str">
        <f t="shared" si="50"/>
        <v/>
      </c>
    </row>
    <row r="348" spans="1:28" s="277" customFormat="1" ht="20.25">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ca="1" si="48"/>
        <v/>
      </c>
      <c r="T348" s="225" t="str">
        <f ca="1">IF(B348="","",IF(ISERROR(MATCH($J348,SorP!$B$1:$B$6230,0)),"",INDIRECT("'SorP'!$A$"&amp;MATCH($J348,SorP!$B$1:$B$6230,0))))</f>
        <v/>
      </c>
      <c r="U348" s="241"/>
      <c r="V348" s="275" t="e">
        <f>IF(C348="",NA(),MATCH($B348&amp;$C348,'Smelter Look-up'!$J:$J,0))</f>
        <v>#N/A</v>
      </c>
      <c r="W348" s="276"/>
      <c r="X348" s="276">
        <f t="shared" ca="1" si="49"/>
        <v>0</v>
      </c>
      <c r="Y348" s="276"/>
      <c r="Z348" s="276"/>
      <c r="AB348" s="278" t="str">
        <f t="shared" si="50"/>
        <v/>
      </c>
    </row>
    <row r="349" spans="1:28" s="277" customFormat="1" ht="20.25">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48"/>
        <v/>
      </c>
      <c r="T349" s="225" t="str">
        <f ca="1">IF(B349="","",IF(ISERROR(MATCH($J349,SorP!$B$1:$B$6230,0)),"",INDIRECT("'SorP'!$A$"&amp;MATCH($J349,SorP!$B$1:$B$6230,0))))</f>
        <v/>
      </c>
      <c r="U349" s="241"/>
      <c r="V349" s="275" t="e">
        <f>IF(C349="",NA(),MATCH($B349&amp;$C349,'Smelter Look-up'!$J:$J,0))</f>
        <v>#N/A</v>
      </c>
      <c r="W349" s="276"/>
      <c r="X349" s="276">
        <f t="shared" ca="1" si="49"/>
        <v>0</v>
      </c>
      <c r="Y349" s="276"/>
      <c r="Z349" s="276"/>
      <c r="AB349" s="278" t="str">
        <f t="shared" si="50"/>
        <v/>
      </c>
    </row>
    <row r="350" spans="1:28" s="277" customFormat="1" ht="20.25">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48"/>
        <v/>
      </c>
      <c r="T350" s="225" t="str">
        <f ca="1">IF(B350="","",IF(ISERROR(MATCH($J350,SorP!$B$1:$B$6230,0)),"",INDIRECT("'SorP'!$A$"&amp;MATCH($J350,SorP!$B$1:$B$6230,0))))</f>
        <v/>
      </c>
      <c r="U350" s="241"/>
      <c r="V350" s="275" t="e">
        <f>IF(C350="",NA(),MATCH($B350&amp;$C350,'Smelter Look-up'!$J:$J,0))</f>
        <v>#N/A</v>
      </c>
      <c r="W350" s="276"/>
      <c r="X350" s="276">
        <f t="shared" ca="1" si="49"/>
        <v>0</v>
      </c>
      <c r="Y350" s="276"/>
      <c r="Z350" s="276"/>
      <c r="AB350" s="278" t="str">
        <f t="shared" si="50"/>
        <v/>
      </c>
    </row>
    <row r="351" spans="1:28" s="277" customFormat="1" ht="20.25">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48"/>
        <v/>
      </c>
      <c r="T351" s="225" t="str">
        <f ca="1">IF(B351="","",IF(ISERROR(MATCH($J351,SorP!$B$1:$B$6230,0)),"",INDIRECT("'SorP'!$A$"&amp;MATCH($J351,SorP!$B$1:$B$6230,0))))</f>
        <v/>
      </c>
      <c r="U351" s="241"/>
      <c r="V351" s="275" t="e">
        <f>IF(C351="",NA(),MATCH($B351&amp;$C351,'Smelter Look-up'!$J:$J,0))</f>
        <v>#N/A</v>
      </c>
      <c r="W351" s="276"/>
      <c r="X351" s="276">
        <f t="shared" ca="1" si="49"/>
        <v>0</v>
      </c>
      <c r="Y351" s="276"/>
      <c r="Z351" s="276"/>
      <c r="AB351" s="278" t="str">
        <f t="shared" si="50"/>
        <v/>
      </c>
    </row>
    <row r="352" spans="1:28" s="277" customFormat="1" ht="20.25">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48"/>
        <v/>
      </c>
      <c r="T352" s="225" t="str">
        <f ca="1">IF(B352="","",IF(ISERROR(MATCH($J352,SorP!$B$1:$B$6230,0)),"",INDIRECT("'SorP'!$A$"&amp;MATCH($J352,SorP!$B$1:$B$6230,0))))</f>
        <v/>
      </c>
      <c r="U352" s="241"/>
      <c r="V352" s="275" t="e">
        <f>IF(C352="",NA(),MATCH($B352&amp;$C352,'Smelter Look-up'!$J:$J,0))</f>
        <v>#N/A</v>
      </c>
      <c r="W352" s="276"/>
      <c r="X352" s="276">
        <f t="shared" ca="1" si="49"/>
        <v>0</v>
      </c>
      <c r="Y352" s="276"/>
      <c r="Z352" s="276"/>
      <c r="AB352" s="278" t="str">
        <f t="shared" si="50"/>
        <v/>
      </c>
    </row>
    <row r="353" spans="1:28" s="277" customFormat="1" ht="20.25">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48"/>
        <v/>
      </c>
      <c r="T353" s="225" t="str">
        <f ca="1">IF(B353="","",IF(ISERROR(MATCH($J353,SorP!$B$1:$B$6230,0)),"",INDIRECT("'SorP'!$A$"&amp;MATCH($J353,SorP!$B$1:$B$6230,0))))</f>
        <v/>
      </c>
      <c r="U353" s="241"/>
      <c r="V353" s="275" t="e">
        <f>IF(C353="",NA(),MATCH($B353&amp;$C353,'Smelter Look-up'!$J:$J,0))</f>
        <v>#N/A</v>
      </c>
      <c r="W353" s="276"/>
      <c r="X353" s="276">
        <f t="shared" ca="1" si="49"/>
        <v>0</v>
      </c>
      <c r="Y353" s="276"/>
      <c r="Z353" s="276"/>
      <c r="AB353" s="278" t="str">
        <f t="shared" si="50"/>
        <v/>
      </c>
    </row>
    <row r="354" spans="1:28" s="277" customFormat="1" ht="20.25">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48"/>
        <v/>
      </c>
      <c r="T354" s="225" t="str">
        <f ca="1">IF(B354="","",IF(ISERROR(MATCH($J354,SorP!$B$1:$B$6230,0)),"",INDIRECT("'SorP'!$A$"&amp;MATCH($J354,SorP!$B$1:$B$6230,0))))</f>
        <v/>
      </c>
      <c r="U354" s="241"/>
      <c r="V354" s="275" t="e">
        <f>IF(C354="",NA(),MATCH($B354&amp;$C354,'Smelter Look-up'!$J:$J,0))</f>
        <v>#N/A</v>
      </c>
      <c r="W354" s="276"/>
      <c r="X354" s="276">
        <f t="shared" ca="1" si="49"/>
        <v>0</v>
      </c>
      <c r="Y354" s="276"/>
      <c r="Z354" s="276"/>
      <c r="AB354" s="278" t="str">
        <f t="shared" si="50"/>
        <v/>
      </c>
    </row>
    <row r="355" spans="1:28" s="277" customFormat="1" ht="20.25">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48"/>
        <v/>
      </c>
      <c r="T355" s="225" t="str">
        <f ca="1">IF(B355="","",IF(ISERROR(MATCH($J355,SorP!$B$1:$B$6230,0)),"",INDIRECT("'SorP'!$A$"&amp;MATCH($J355,SorP!$B$1:$B$6230,0))))</f>
        <v/>
      </c>
      <c r="U355" s="241"/>
      <c r="V355" s="275" t="e">
        <f>IF(C355="",NA(),MATCH($B355&amp;$C355,'Smelter Look-up'!$J:$J,0))</f>
        <v>#N/A</v>
      </c>
      <c r="W355" s="276"/>
      <c r="X355" s="276">
        <f t="shared" ca="1" si="49"/>
        <v>0</v>
      </c>
      <c r="Y355" s="276"/>
      <c r="Z355" s="276"/>
      <c r="AB355" s="278" t="str">
        <f t="shared" si="50"/>
        <v/>
      </c>
    </row>
    <row r="356" spans="1:28" s="277" customFormat="1" ht="20.25">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48"/>
        <v/>
      </c>
      <c r="T356" s="225" t="str">
        <f ca="1">IF(B356="","",IF(ISERROR(MATCH($J356,SorP!$B$1:$B$6230,0)),"",INDIRECT("'SorP'!$A$"&amp;MATCH($J356,SorP!$B$1:$B$6230,0))))</f>
        <v/>
      </c>
      <c r="U356" s="241"/>
      <c r="V356" s="275" t="e">
        <f>IF(C356="",NA(),MATCH($B356&amp;$C356,'Smelter Look-up'!$J:$J,0))</f>
        <v>#N/A</v>
      </c>
      <c r="W356" s="276"/>
      <c r="X356" s="276">
        <f t="shared" ca="1" si="49"/>
        <v>0</v>
      </c>
      <c r="Y356" s="276"/>
      <c r="Z356" s="276"/>
      <c r="AB356" s="278" t="str">
        <f t="shared" si="50"/>
        <v/>
      </c>
    </row>
    <row r="357" spans="1:28" s="277" customFormat="1" ht="20.25">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ca="1" si="48"/>
        <v/>
      </c>
      <c r="T357" s="225" t="str">
        <f ca="1">IF(B357="","",IF(ISERROR(MATCH($J357,SorP!$B$1:$B$6230,0)),"",INDIRECT("'SorP'!$A$"&amp;MATCH($J357,SorP!$B$1:$B$6230,0))))</f>
        <v/>
      </c>
      <c r="U357" s="241"/>
      <c r="V357" s="275" t="e">
        <f>IF(C357="",NA(),MATCH($B357&amp;$C357,'Smelter Look-up'!$J:$J,0))</f>
        <v>#N/A</v>
      </c>
      <c r="W357" s="276"/>
      <c r="X357" s="276">
        <f t="shared" ca="1" si="49"/>
        <v>0</v>
      </c>
      <c r="Y357" s="276"/>
      <c r="Z357" s="276"/>
      <c r="AB357" s="278" t="str">
        <f t="shared" si="50"/>
        <v/>
      </c>
    </row>
    <row r="358" spans="1:28" s="277" customFormat="1" ht="20.25">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ref="S358:S388" ca="1" si="51">IF(B358="","",IF(ISERROR(MATCH($E358,CL,0)),"Unknown",INDIRECT("'C'!$A$"&amp;MATCH($E358,CL,0)+1)))</f>
        <v/>
      </c>
      <c r="T358" s="225" t="str">
        <f ca="1">IF(B358="","",IF(ISERROR(MATCH($J358,SorP!$B$1:$B$6230,0)),"",INDIRECT("'SorP'!$A$"&amp;MATCH($J358,SorP!$B$1:$B$6230,0))))</f>
        <v/>
      </c>
      <c r="U358" s="241"/>
      <c r="V358" s="275" t="e">
        <f>IF(C358="",NA(),MATCH($B358&amp;$C358,'Smelter Look-up'!$J:$J,0))</f>
        <v>#N/A</v>
      </c>
      <c r="W358" s="276"/>
      <c r="X358" s="276">
        <f t="shared" ref="X358:X388" ca="1" si="52">IF(AND(C358="Smelter not listed",OR(LEN(D358)=0,LEN(E358)=0)),1,0)</f>
        <v>0</v>
      </c>
      <c r="Y358" s="276"/>
      <c r="Z358" s="276"/>
      <c r="AB358" s="278" t="str">
        <f t="shared" ref="AB358:AB388" si="53">B358&amp;C358</f>
        <v/>
      </c>
    </row>
    <row r="359" spans="1:28" s="277" customFormat="1" ht="20.25">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51"/>
        <v/>
      </c>
      <c r="T359" s="225" t="str">
        <f ca="1">IF(B359="","",IF(ISERROR(MATCH($J359,SorP!$B$1:$B$6230,0)),"",INDIRECT("'SorP'!$A$"&amp;MATCH($J359,SorP!$B$1:$B$6230,0))))</f>
        <v/>
      </c>
      <c r="U359" s="241"/>
      <c r="V359" s="275" t="e">
        <f>IF(C359="",NA(),MATCH($B359&amp;$C359,'Smelter Look-up'!$J:$J,0))</f>
        <v>#N/A</v>
      </c>
      <c r="W359" s="276"/>
      <c r="X359" s="276">
        <f t="shared" ca="1" si="52"/>
        <v>0</v>
      </c>
      <c r="Y359" s="276"/>
      <c r="Z359" s="276"/>
      <c r="AB359" s="278" t="str">
        <f t="shared" si="53"/>
        <v/>
      </c>
    </row>
    <row r="360" spans="1:28" s="277" customFormat="1" ht="20.25">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51"/>
        <v/>
      </c>
      <c r="T360" s="225" t="str">
        <f ca="1">IF(B360="","",IF(ISERROR(MATCH($J360,SorP!$B$1:$B$6230,0)),"",INDIRECT("'SorP'!$A$"&amp;MATCH($J360,SorP!$B$1:$B$6230,0))))</f>
        <v/>
      </c>
      <c r="U360" s="241"/>
      <c r="V360" s="275" t="e">
        <f>IF(C360="",NA(),MATCH($B360&amp;$C360,'Smelter Look-up'!$J:$J,0))</f>
        <v>#N/A</v>
      </c>
      <c r="W360" s="276"/>
      <c r="X360" s="276">
        <f t="shared" ca="1" si="52"/>
        <v>0</v>
      </c>
      <c r="Y360" s="276"/>
      <c r="Z360" s="276"/>
      <c r="AB360" s="278" t="str">
        <f t="shared" si="53"/>
        <v/>
      </c>
    </row>
    <row r="361" spans="1:28" s="277" customFormat="1" ht="20.25">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51"/>
        <v/>
      </c>
      <c r="T361" s="225" t="str">
        <f ca="1">IF(B361="","",IF(ISERROR(MATCH($J361,SorP!$B$1:$B$6230,0)),"",INDIRECT("'SorP'!$A$"&amp;MATCH($J361,SorP!$B$1:$B$6230,0))))</f>
        <v/>
      </c>
      <c r="U361" s="241"/>
      <c r="V361" s="275" t="e">
        <f>IF(C361="",NA(),MATCH($B361&amp;$C361,'Smelter Look-up'!$J:$J,0))</f>
        <v>#N/A</v>
      </c>
      <c r="W361" s="276"/>
      <c r="X361" s="276">
        <f t="shared" ca="1" si="52"/>
        <v>0</v>
      </c>
      <c r="Y361" s="276"/>
      <c r="Z361" s="276"/>
      <c r="AB361" s="278" t="str">
        <f t="shared" si="53"/>
        <v/>
      </c>
    </row>
    <row r="362" spans="1:28" s="277" customFormat="1" ht="20.25">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51"/>
        <v/>
      </c>
      <c r="T362" s="225" t="str">
        <f ca="1">IF(B362="","",IF(ISERROR(MATCH($J362,SorP!$B$1:$B$6230,0)),"",INDIRECT("'SorP'!$A$"&amp;MATCH($J362,SorP!$B$1:$B$6230,0))))</f>
        <v/>
      </c>
      <c r="U362" s="241"/>
      <c r="V362" s="275" t="e">
        <f>IF(C362="",NA(),MATCH($B362&amp;$C362,'Smelter Look-up'!$J:$J,0))</f>
        <v>#N/A</v>
      </c>
      <c r="W362" s="276"/>
      <c r="X362" s="276">
        <f t="shared" ca="1" si="52"/>
        <v>0</v>
      </c>
      <c r="Y362" s="276"/>
      <c r="Z362" s="276"/>
      <c r="AB362" s="278" t="str">
        <f t="shared" si="53"/>
        <v/>
      </c>
    </row>
    <row r="363" spans="1:28" s="277" customFormat="1" ht="20.25">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51"/>
        <v/>
      </c>
      <c r="T363" s="225" t="str">
        <f ca="1">IF(B363="","",IF(ISERROR(MATCH($J363,SorP!$B$1:$B$6230,0)),"",INDIRECT("'SorP'!$A$"&amp;MATCH($J363,SorP!$B$1:$B$6230,0))))</f>
        <v/>
      </c>
      <c r="U363" s="241"/>
      <c r="V363" s="275" t="e">
        <f>IF(C363="",NA(),MATCH($B363&amp;$C363,'Smelter Look-up'!$J:$J,0))</f>
        <v>#N/A</v>
      </c>
      <c r="W363" s="276"/>
      <c r="X363" s="276">
        <f t="shared" ca="1" si="52"/>
        <v>0</v>
      </c>
      <c r="Y363" s="276"/>
      <c r="Z363" s="276"/>
      <c r="AB363" s="278" t="str">
        <f t="shared" si="53"/>
        <v/>
      </c>
    </row>
    <row r="364" spans="1:28" s="277" customFormat="1" ht="20.25">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51"/>
        <v/>
      </c>
      <c r="T364" s="225" t="str">
        <f ca="1">IF(B364="","",IF(ISERROR(MATCH($J364,SorP!$B$1:$B$6230,0)),"",INDIRECT("'SorP'!$A$"&amp;MATCH($J364,SorP!$B$1:$B$6230,0))))</f>
        <v/>
      </c>
      <c r="U364" s="241"/>
      <c r="V364" s="275" t="e">
        <f>IF(C364="",NA(),MATCH($B364&amp;$C364,'Smelter Look-up'!$J:$J,0))</f>
        <v>#N/A</v>
      </c>
      <c r="W364" s="276"/>
      <c r="X364" s="276">
        <f t="shared" ca="1" si="52"/>
        <v>0</v>
      </c>
      <c r="Y364" s="276"/>
      <c r="Z364" s="276"/>
      <c r="AB364" s="278" t="str">
        <f t="shared" si="53"/>
        <v/>
      </c>
    </row>
    <row r="365" spans="1:28" s="277" customFormat="1" ht="20.25">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51"/>
        <v/>
      </c>
      <c r="T365" s="225" t="str">
        <f ca="1">IF(B365="","",IF(ISERROR(MATCH($J365,SorP!$B$1:$B$6230,0)),"",INDIRECT("'SorP'!$A$"&amp;MATCH($J365,SorP!$B$1:$B$6230,0))))</f>
        <v/>
      </c>
      <c r="U365" s="241"/>
      <c r="V365" s="275" t="e">
        <f>IF(C365="",NA(),MATCH($B365&amp;$C365,'Smelter Look-up'!$J:$J,0))</f>
        <v>#N/A</v>
      </c>
      <c r="W365" s="276"/>
      <c r="X365" s="276">
        <f t="shared" ca="1" si="52"/>
        <v>0</v>
      </c>
      <c r="Y365" s="276"/>
      <c r="Z365" s="276"/>
      <c r="AB365" s="278" t="str">
        <f t="shared" si="53"/>
        <v/>
      </c>
    </row>
    <row r="366" spans="1:28" s="277" customFormat="1" ht="20.25">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51"/>
        <v/>
      </c>
      <c r="T366" s="225" t="str">
        <f ca="1">IF(B366="","",IF(ISERROR(MATCH($J366,SorP!$B$1:$B$6230,0)),"",INDIRECT("'SorP'!$A$"&amp;MATCH($J366,SorP!$B$1:$B$6230,0))))</f>
        <v/>
      </c>
      <c r="U366" s="241"/>
      <c r="V366" s="275" t="e">
        <f>IF(C366="",NA(),MATCH($B366&amp;$C366,'Smelter Look-up'!$J:$J,0))</f>
        <v>#N/A</v>
      </c>
      <c r="W366" s="276"/>
      <c r="X366" s="276">
        <f t="shared" ca="1" si="52"/>
        <v>0</v>
      </c>
      <c r="Y366" s="276"/>
      <c r="Z366" s="276"/>
      <c r="AB366" s="278" t="str">
        <f t="shared" si="53"/>
        <v/>
      </c>
    </row>
    <row r="367" spans="1:28" s="277" customFormat="1" ht="20.25">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51"/>
        <v/>
      </c>
      <c r="T367" s="225" t="str">
        <f ca="1">IF(B367="","",IF(ISERROR(MATCH($J367,SorP!$B$1:$B$6230,0)),"",INDIRECT("'SorP'!$A$"&amp;MATCH($J367,SorP!$B$1:$B$6230,0))))</f>
        <v/>
      </c>
      <c r="U367" s="241"/>
      <c r="V367" s="275" t="e">
        <f>IF(C367="",NA(),MATCH($B367&amp;$C367,'Smelter Look-up'!$J:$J,0))</f>
        <v>#N/A</v>
      </c>
      <c r="W367" s="276"/>
      <c r="X367" s="276">
        <f t="shared" ca="1" si="52"/>
        <v>0</v>
      </c>
      <c r="Y367" s="276"/>
      <c r="Z367" s="276"/>
      <c r="AB367" s="278" t="str">
        <f t="shared" si="53"/>
        <v/>
      </c>
    </row>
    <row r="368" spans="1:28" s="277" customFormat="1" ht="20.25">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51"/>
        <v/>
      </c>
      <c r="T368" s="225" t="str">
        <f ca="1">IF(B368="","",IF(ISERROR(MATCH($J368,SorP!$B$1:$B$6230,0)),"",INDIRECT("'SorP'!$A$"&amp;MATCH($J368,SorP!$B$1:$B$6230,0))))</f>
        <v/>
      </c>
      <c r="U368" s="241"/>
      <c r="V368" s="275" t="e">
        <f>IF(C368="",NA(),MATCH($B368&amp;$C368,'Smelter Look-up'!$J:$J,0))</f>
        <v>#N/A</v>
      </c>
      <c r="W368" s="276"/>
      <c r="X368" s="276">
        <f t="shared" ca="1" si="52"/>
        <v>0</v>
      </c>
      <c r="Y368" s="276"/>
      <c r="Z368" s="276"/>
      <c r="AB368" s="278" t="str">
        <f t="shared" si="53"/>
        <v/>
      </c>
    </row>
    <row r="369" spans="1:28" s="277" customFormat="1" ht="20.25">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51"/>
        <v/>
      </c>
      <c r="T369" s="225" t="str">
        <f ca="1">IF(B369="","",IF(ISERROR(MATCH($J369,SorP!$B$1:$B$6230,0)),"",INDIRECT("'SorP'!$A$"&amp;MATCH($J369,SorP!$B$1:$B$6230,0))))</f>
        <v/>
      </c>
      <c r="U369" s="241"/>
      <c r="V369" s="275" t="e">
        <f>IF(C369="",NA(),MATCH($B369&amp;$C369,'Smelter Look-up'!$J:$J,0))</f>
        <v>#N/A</v>
      </c>
      <c r="W369" s="276"/>
      <c r="X369" s="276">
        <f t="shared" ca="1" si="52"/>
        <v>0</v>
      </c>
      <c r="Y369" s="276"/>
      <c r="Z369" s="276"/>
      <c r="AB369" s="278" t="str">
        <f t="shared" si="53"/>
        <v/>
      </c>
    </row>
    <row r="370" spans="1:28" s="277" customFormat="1" ht="20.25">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51"/>
        <v/>
      </c>
      <c r="T370" s="225" t="str">
        <f ca="1">IF(B370="","",IF(ISERROR(MATCH($J370,SorP!$B$1:$B$6230,0)),"",INDIRECT("'SorP'!$A$"&amp;MATCH($J370,SorP!$B$1:$B$6230,0))))</f>
        <v/>
      </c>
      <c r="U370" s="241"/>
      <c r="V370" s="275" t="e">
        <f>IF(C370="",NA(),MATCH($B370&amp;$C370,'Smelter Look-up'!$J:$J,0))</f>
        <v>#N/A</v>
      </c>
      <c r="W370" s="276"/>
      <c r="X370" s="276">
        <f t="shared" ca="1" si="52"/>
        <v>0</v>
      </c>
      <c r="Y370" s="276"/>
      <c r="Z370" s="276"/>
      <c r="AB370" s="278" t="str">
        <f t="shared" si="53"/>
        <v/>
      </c>
    </row>
    <row r="371" spans="1:28" s="277" customFormat="1" ht="20.25">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51"/>
        <v/>
      </c>
      <c r="T371" s="225" t="str">
        <f ca="1">IF(B371="","",IF(ISERROR(MATCH($J371,SorP!$B$1:$B$6230,0)),"",INDIRECT("'SorP'!$A$"&amp;MATCH($J371,SorP!$B$1:$B$6230,0))))</f>
        <v/>
      </c>
      <c r="U371" s="241"/>
      <c r="V371" s="275" t="e">
        <f>IF(C371="",NA(),MATCH($B371&amp;$C371,'Smelter Look-up'!$J:$J,0))</f>
        <v>#N/A</v>
      </c>
      <c r="W371" s="276"/>
      <c r="X371" s="276">
        <f t="shared" ca="1" si="52"/>
        <v>0</v>
      </c>
      <c r="Y371" s="276"/>
      <c r="Z371" s="276"/>
      <c r="AB371" s="278" t="str">
        <f t="shared" si="53"/>
        <v/>
      </c>
    </row>
    <row r="372" spans="1:28" s="277" customFormat="1" ht="20.25">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51"/>
        <v/>
      </c>
      <c r="T372" s="225" t="str">
        <f ca="1">IF(B372="","",IF(ISERROR(MATCH($J372,SorP!$B$1:$B$6230,0)),"",INDIRECT("'SorP'!$A$"&amp;MATCH($J372,SorP!$B$1:$B$6230,0))))</f>
        <v/>
      </c>
      <c r="U372" s="241"/>
      <c r="V372" s="275" t="e">
        <f>IF(C372="",NA(),MATCH($B372&amp;$C372,'Smelter Look-up'!$J:$J,0))</f>
        <v>#N/A</v>
      </c>
      <c r="W372" s="276"/>
      <c r="X372" s="276">
        <f t="shared" ca="1" si="52"/>
        <v>0</v>
      </c>
      <c r="Y372" s="276"/>
      <c r="Z372" s="276"/>
      <c r="AB372" s="278" t="str">
        <f t="shared" si="53"/>
        <v/>
      </c>
    </row>
    <row r="373" spans="1:28" s="277" customFormat="1" ht="20.25">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51"/>
        <v/>
      </c>
      <c r="T373" s="225" t="str">
        <f ca="1">IF(B373="","",IF(ISERROR(MATCH($J373,SorP!$B$1:$B$6230,0)),"",INDIRECT("'SorP'!$A$"&amp;MATCH($J373,SorP!$B$1:$B$6230,0))))</f>
        <v/>
      </c>
      <c r="U373" s="241"/>
      <c r="V373" s="275" t="e">
        <f>IF(C373="",NA(),MATCH($B373&amp;$C373,'Smelter Look-up'!$J:$J,0))</f>
        <v>#N/A</v>
      </c>
      <c r="W373" s="276"/>
      <c r="X373" s="276">
        <f t="shared" ca="1" si="52"/>
        <v>0</v>
      </c>
      <c r="Y373" s="276"/>
      <c r="Z373" s="276"/>
      <c r="AB373" s="278" t="str">
        <f t="shared" si="53"/>
        <v/>
      </c>
    </row>
    <row r="374" spans="1:28" s="277" customFormat="1" ht="20.25">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51"/>
        <v/>
      </c>
      <c r="T374" s="225" t="str">
        <f ca="1">IF(B374="","",IF(ISERROR(MATCH($J374,SorP!$B$1:$B$6230,0)),"",INDIRECT("'SorP'!$A$"&amp;MATCH($J374,SorP!$B$1:$B$6230,0))))</f>
        <v/>
      </c>
      <c r="U374" s="241"/>
      <c r="V374" s="275" t="e">
        <f>IF(C374="",NA(),MATCH($B374&amp;$C374,'Smelter Look-up'!$J:$J,0))</f>
        <v>#N/A</v>
      </c>
      <c r="W374" s="276"/>
      <c r="X374" s="276">
        <f t="shared" ca="1" si="52"/>
        <v>0</v>
      </c>
      <c r="Y374" s="276"/>
      <c r="Z374" s="276"/>
      <c r="AB374" s="278" t="str">
        <f t="shared" si="53"/>
        <v/>
      </c>
    </row>
    <row r="375" spans="1:28" s="277" customFormat="1" ht="20.25">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51"/>
        <v/>
      </c>
      <c r="T375" s="225" t="str">
        <f ca="1">IF(B375="","",IF(ISERROR(MATCH($J375,SorP!$B$1:$B$6230,0)),"",INDIRECT("'SorP'!$A$"&amp;MATCH($J375,SorP!$B$1:$B$6230,0))))</f>
        <v/>
      </c>
      <c r="U375" s="241"/>
      <c r="V375" s="275" t="e">
        <f>IF(C375="",NA(),MATCH($B375&amp;$C375,'Smelter Look-up'!$J:$J,0))</f>
        <v>#N/A</v>
      </c>
      <c r="W375" s="276"/>
      <c r="X375" s="276">
        <f t="shared" ca="1" si="52"/>
        <v>0</v>
      </c>
      <c r="Y375" s="276"/>
      <c r="Z375" s="276"/>
      <c r="AB375" s="278" t="str">
        <f t="shared" si="53"/>
        <v/>
      </c>
    </row>
    <row r="376" spans="1:28" s="277" customFormat="1" ht="20.25">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51"/>
        <v/>
      </c>
      <c r="T376" s="225" t="str">
        <f ca="1">IF(B376="","",IF(ISERROR(MATCH($J376,SorP!$B$1:$B$6230,0)),"",INDIRECT("'SorP'!$A$"&amp;MATCH($J376,SorP!$B$1:$B$6230,0))))</f>
        <v/>
      </c>
      <c r="U376" s="241"/>
      <c r="V376" s="275" t="e">
        <f>IF(C376="",NA(),MATCH($B376&amp;$C376,'Smelter Look-up'!$J:$J,0))</f>
        <v>#N/A</v>
      </c>
      <c r="W376" s="276"/>
      <c r="X376" s="276">
        <f t="shared" ca="1" si="52"/>
        <v>0</v>
      </c>
      <c r="Y376" s="276"/>
      <c r="Z376" s="276"/>
      <c r="AB376" s="278" t="str">
        <f t="shared" si="53"/>
        <v/>
      </c>
    </row>
    <row r="377" spans="1:28" s="277" customFormat="1" ht="20.25">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ca="1" si="51"/>
        <v/>
      </c>
      <c r="T377" s="225" t="str">
        <f ca="1">IF(B377="","",IF(ISERROR(MATCH($J377,SorP!$B$1:$B$6230,0)),"",INDIRECT("'SorP'!$A$"&amp;MATCH($J377,SorP!$B$1:$B$6230,0))))</f>
        <v/>
      </c>
      <c r="U377" s="241"/>
      <c r="V377" s="275" t="e">
        <f>IF(C377="",NA(),MATCH($B377&amp;$C377,'Smelter Look-up'!$J:$J,0))</f>
        <v>#N/A</v>
      </c>
      <c r="W377" s="276"/>
      <c r="X377" s="276">
        <f t="shared" ca="1" si="52"/>
        <v>0</v>
      </c>
      <c r="Y377" s="276"/>
      <c r="Z377" s="276"/>
      <c r="AB377" s="278" t="str">
        <f t="shared" si="53"/>
        <v/>
      </c>
    </row>
    <row r="378" spans="1:28" s="277" customFormat="1" ht="20.25">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ca="1" si="51"/>
        <v/>
      </c>
      <c r="T378" s="225" t="str">
        <f ca="1">IF(B378="","",IF(ISERROR(MATCH($J378,SorP!$B$1:$B$6230,0)),"",INDIRECT("'SorP'!$A$"&amp;MATCH($J378,SorP!$B$1:$B$6230,0))))</f>
        <v/>
      </c>
      <c r="U378" s="241"/>
      <c r="V378" s="275" t="e">
        <f>IF(C378="",NA(),MATCH($B378&amp;$C378,'Smelter Look-up'!$J:$J,0))</f>
        <v>#N/A</v>
      </c>
      <c r="W378" s="276"/>
      <c r="X378" s="276">
        <f t="shared" ca="1" si="52"/>
        <v>0</v>
      </c>
      <c r="Y378" s="276"/>
      <c r="Z378" s="276"/>
      <c r="AB378" s="278" t="str">
        <f t="shared" si="53"/>
        <v/>
      </c>
    </row>
    <row r="379" spans="1:28" s="277" customFormat="1" ht="20.25">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ca="1" si="51"/>
        <v/>
      </c>
      <c r="T379" s="225" t="str">
        <f ca="1">IF(B379="","",IF(ISERROR(MATCH($J379,SorP!$B$1:$B$6230,0)),"",INDIRECT("'SorP'!$A$"&amp;MATCH($J379,SorP!$B$1:$B$6230,0))))</f>
        <v/>
      </c>
      <c r="U379" s="241"/>
      <c r="V379" s="275" t="e">
        <f>IF(C379="",NA(),MATCH($B379&amp;$C379,'Smelter Look-up'!$J:$J,0))</f>
        <v>#N/A</v>
      </c>
      <c r="W379" s="276"/>
      <c r="X379" s="276">
        <f t="shared" ca="1" si="52"/>
        <v>0</v>
      </c>
      <c r="Y379" s="276"/>
      <c r="Z379" s="276"/>
      <c r="AB379" s="278" t="str">
        <f t="shared" si="53"/>
        <v/>
      </c>
    </row>
    <row r="380" spans="1:28" s="277" customFormat="1" ht="20.25">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ca="1" si="51"/>
        <v/>
      </c>
      <c r="T380" s="225" t="str">
        <f ca="1">IF(B380="","",IF(ISERROR(MATCH($J380,SorP!$B$1:$B$6230,0)),"",INDIRECT("'SorP'!$A$"&amp;MATCH($J380,SorP!$B$1:$B$6230,0))))</f>
        <v/>
      </c>
      <c r="U380" s="241"/>
      <c r="V380" s="275" t="e">
        <f>IF(C380="",NA(),MATCH($B380&amp;$C380,'Smelter Look-up'!$J:$J,0))</f>
        <v>#N/A</v>
      </c>
      <c r="W380" s="276"/>
      <c r="X380" s="276">
        <f t="shared" ca="1" si="52"/>
        <v>0</v>
      </c>
      <c r="Y380" s="276"/>
      <c r="Z380" s="276"/>
      <c r="AB380" s="278" t="str">
        <f t="shared" si="53"/>
        <v/>
      </c>
    </row>
    <row r="381" spans="1:28" s="277" customFormat="1" ht="20.25">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51"/>
        <v/>
      </c>
      <c r="T381" s="225" t="str">
        <f ca="1">IF(B381="","",IF(ISERROR(MATCH($J381,SorP!$B$1:$B$6230,0)),"",INDIRECT("'SorP'!$A$"&amp;MATCH($J381,SorP!$B$1:$B$6230,0))))</f>
        <v/>
      </c>
      <c r="U381" s="241"/>
      <c r="V381" s="275" t="e">
        <f>IF(C381="",NA(),MATCH($B381&amp;$C381,'Smelter Look-up'!$J:$J,0))</f>
        <v>#N/A</v>
      </c>
      <c r="W381" s="276"/>
      <c r="X381" s="276">
        <f t="shared" ca="1" si="52"/>
        <v>0</v>
      </c>
      <c r="Y381" s="276"/>
      <c r="Z381" s="276"/>
      <c r="AB381" s="278" t="str">
        <f t="shared" si="53"/>
        <v/>
      </c>
    </row>
    <row r="382" spans="1:28" s="277" customFormat="1" ht="20.25">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51"/>
        <v/>
      </c>
      <c r="T382" s="225" t="str">
        <f ca="1">IF(B382="","",IF(ISERROR(MATCH($J382,SorP!$B$1:$B$6230,0)),"",INDIRECT("'SorP'!$A$"&amp;MATCH($J382,SorP!$B$1:$B$6230,0))))</f>
        <v/>
      </c>
      <c r="U382" s="241"/>
      <c r="V382" s="275" t="e">
        <f>IF(C382="",NA(),MATCH($B382&amp;$C382,'Smelter Look-up'!$J:$J,0))</f>
        <v>#N/A</v>
      </c>
      <c r="W382" s="276"/>
      <c r="X382" s="276">
        <f t="shared" ca="1" si="52"/>
        <v>0</v>
      </c>
      <c r="Y382" s="276"/>
      <c r="Z382" s="276"/>
      <c r="AB382" s="278" t="str">
        <f t="shared" si="53"/>
        <v/>
      </c>
    </row>
    <row r="383" spans="1:28" s="277" customFormat="1" ht="20.25">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51"/>
        <v/>
      </c>
      <c r="T383" s="225" t="str">
        <f ca="1">IF(B383="","",IF(ISERROR(MATCH($J383,SorP!$B$1:$B$6230,0)),"",INDIRECT("'SorP'!$A$"&amp;MATCH($J383,SorP!$B$1:$B$6230,0))))</f>
        <v/>
      </c>
      <c r="U383" s="241"/>
      <c r="V383" s="275" t="e">
        <f>IF(C383="",NA(),MATCH($B383&amp;$C383,'Smelter Look-up'!$J:$J,0))</f>
        <v>#N/A</v>
      </c>
      <c r="W383" s="276"/>
      <c r="X383" s="276">
        <f t="shared" ca="1" si="52"/>
        <v>0</v>
      </c>
      <c r="Y383" s="276"/>
      <c r="Z383" s="276"/>
      <c r="AB383" s="278" t="str">
        <f t="shared" si="53"/>
        <v/>
      </c>
    </row>
    <row r="384" spans="1:28" s="277" customFormat="1" ht="20.25">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51"/>
        <v/>
      </c>
      <c r="T384" s="225" t="str">
        <f ca="1">IF(B384="","",IF(ISERROR(MATCH($J384,SorP!$B$1:$B$6230,0)),"",INDIRECT("'SorP'!$A$"&amp;MATCH($J384,SorP!$B$1:$B$6230,0))))</f>
        <v/>
      </c>
      <c r="U384" s="241"/>
      <c r="V384" s="275" t="e">
        <f>IF(C384="",NA(),MATCH($B384&amp;$C384,'Smelter Look-up'!$J:$J,0))</f>
        <v>#N/A</v>
      </c>
      <c r="W384" s="276"/>
      <c r="X384" s="276">
        <f t="shared" ca="1" si="52"/>
        <v>0</v>
      </c>
      <c r="Y384" s="276"/>
      <c r="Z384" s="276"/>
      <c r="AB384" s="278" t="str">
        <f t="shared" si="53"/>
        <v/>
      </c>
    </row>
    <row r="385" spans="1:28" s="277" customFormat="1" ht="20.25">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51"/>
        <v/>
      </c>
      <c r="T385" s="225" t="str">
        <f ca="1">IF(B385="","",IF(ISERROR(MATCH($J385,SorP!$B$1:$B$6230,0)),"",INDIRECT("'SorP'!$A$"&amp;MATCH($J385,SorP!$B$1:$B$6230,0))))</f>
        <v/>
      </c>
      <c r="U385" s="241"/>
      <c r="V385" s="275" t="e">
        <f>IF(C385="",NA(),MATCH($B385&amp;$C385,'Smelter Look-up'!$J:$J,0))</f>
        <v>#N/A</v>
      </c>
      <c r="W385" s="276"/>
      <c r="X385" s="276">
        <f t="shared" ca="1" si="52"/>
        <v>0</v>
      </c>
      <c r="Y385" s="276"/>
      <c r="Z385" s="276"/>
      <c r="AB385" s="278" t="str">
        <f t="shared" si="53"/>
        <v/>
      </c>
    </row>
    <row r="386" spans="1:28" s="277" customFormat="1" ht="20.25">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51"/>
        <v/>
      </c>
      <c r="T386" s="225" t="str">
        <f ca="1">IF(B386="","",IF(ISERROR(MATCH($J386,SorP!$B$1:$B$6230,0)),"",INDIRECT("'SorP'!$A$"&amp;MATCH($J386,SorP!$B$1:$B$6230,0))))</f>
        <v/>
      </c>
      <c r="U386" s="241"/>
      <c r="V386" s="275" t="e">
        <f>IF(C386="",NA(),MATCH($B386&amp;$C386,'Smelter Look-up'!$J:$J,0))</f>
        <v>#N/A</v>
      </c>
      <c r="W386" s="276"/>
      <c r="X386" s="276">
        <f t="shared" ca="1" si="52"/>
        <v>0</v>
      </c>
      <c r="Y386" s="276"/>
      <c r="Z386" s="276"/>
      <c r="AB386" s="278" t="str">
        <f t="shared" si="53"/>
        <v/>
      </c>
    </row>
    <row r="387" spans="1:28" s="277" customFormat="1" ht="20.25">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51"/>
        <v/>
      </c>
      <c r="T387" s="225" t="str">
        <f ca="1">IF(B387="","",IF(ISERROR(MATCH($J387,SorP!$B$1:$B$6230,0)),"",INDIRECT("'SorP'!$A$"&amp;MATCH($J387,SorP!$B$1:$B$6230,0))))</f>
        <v/>
      </c>
      <c r="U387" s="241"/>
      <c r="V387" s="275" t="e">
        <f>IF(C387="",NA(),MATCH($B387&amp;$C387,'Smelter Look-up'!$J:$J,0))</f>
        <v>#N/A</v>
      </c>
      <c r="W387" s="276"/>
      <c r="X387" s="276">
        <f t="shared" ca="1" si="52"/>
        <v>0</v>
      </c>
      <c r="Y387" s="276"/>
      <c r="Z387" s="276"/>
      <c r="AB387" s="278" t="str">
        <f t="shared" si="53"/>
        <v/>
      </c>
    </row>
    <row r="388" spans="1:28" s="277" customFormat="1" ht="20.25">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ca="1" si="51"/>
        <v/>
      </c>
      <c r="T388" s="225" t="str">
        <f ca="1">IF(B388="","",IF(ISERROR(MATCH($J388,SorP!$B$1:$B$6230,0)),"",INDIRECT("'SorP'!$A$"&amp;MATCH($J388,SorP!$B$1:$B$6230,0))))</f>
        <v/>
      </c>
      <c r="U388" s="241"/>
      <c r="V388" s="275" t="e">
        <f>IF(C388="",NA(),MATCH($B388&amp;$C388,'Smelter Look-up'!$J:$J,0))</f>
        <v>#N/A</v>
      </c>
      <c r="W388" s="276"/>
      <c r="X388" s="276">
        <f t="shared" ca="1" si="52"/>
        <v>0</v>
      </c>
      <c r="Y388" s="276"/>
      <c r="Z388" s="276"/>
      <c r="AB388" s="278" t="str">
        <f t="shared" si="53"/>
        <v/>
      </c>
    </row>
    <row r="389" spans="1:28" s="277" customFormat="1" ht="20.25">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ref="S389" ca="1" si="54">IF(B389="","",IF(ISERROR(MATCH($E389,CL,0)),"Unknown",INDIRECT("'C'!$A$"&amp;MATCH($E389,CL,0)+1)))</f>
        <v/>
      </c>
      <c r="T389" s="225" t="str">
        <f ca="1">IF(B389="","",IF(ISERROR(MATCH($J389,SorP!$B$1:$B$6230,0)),"",INDIRECT("'SorP'!$A$"&amp;MATCH($J389,SorP!$B$1:$B$6230,0))))</f>
        <v/>
      </c>
      <c r="U389" s="241"/>
      <c r="V389" s="275" t="e">
        <f>IF(C389="",NA(),MATCH($B389&amp;$C389,'Smelter Look-up'!$J:$J,0))</f>
        <v>#N/A</v>
      </c>
      <c r="W389" s="276"/>
      <c r="X389" s="276">
        <f t="shared" ref="X389" ca="1" si="55">IF(AND(C389="Smelter not listed",OR(LEN(D389)=0,LEN(E389)=0)),1,0)</f>
        <v>0</v>
      </c>
      <c r="Y389" s="276"/>
      <c r="Z389" s="276"/>
      <c r="AB389" s="278" t="str">
        <f t="shared" ref="AB389" si="56">B389&amp;C389</f>
        <v/>
      </c>
    </row>
    <row r="390" spans="1:28" s="277" customFormat="1" ht="20.25">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ref="S390:S421" ca="1" si="57">IF(B390="","",IF(ISERROR(MATCH($E390,CL,0)),"Unknown",INDIRECT("'C'!$A$"&amp;MATCH($E390,CL,0)+1)))</f>
        <v/>
      </c>
      <c r="T390" s="225" t="str">
        <f ca="1">IF(B390="","",IF(ISERROR(MATCH($J390,SorP!$B$1:$B$6230,0)),"",INDIRECT("'SorP'!$A$"&amp;MATCH($J390,SorP!$B$1:$B$6230,0))))</f>
        <v/>
      </c>
      <c r="U390" s="241"/>
      <c r="V390" s="275" t="e">
        <f>IF(C390="",NA(),MATCH($B390&amp;$C390,'Smelter Look-up'!$J:$J,0))</f>
        <v>#N/A</v>
      </c>
      <c r="W390" s="276"/>
      <c r="X390" s="276">
        <f t="shared" ref="X390:X421" ca="1" si="58">IF(AND(C390="Smelter not listed",OR(LEN(D390)=0,LEN(E390)=0)),1,0)</f>
        <v>0</v>
      </c>
      <c r="Y390" s="276"/>
      <c r="Z390" s="276"/>
      <c r="AB390" s="278" t="str">
        <f t="shared" ref="AB390:AB421" si="59">B390&amp;C390</f>
        <v/>
      </c>
    </row>
    <row r="391" spans="1:28" s="277" customFormat="1" ht="20.25">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57"/>
        <v/>
      </c>
      <c r="T391" s="225" t="str">
        <f ca="1">IF(B391="","",IF(ISERROR(MATCH($J391,SorP!$B$1:$B$6230,0)),"",INDIRECT("'SorP'!$A$"&amp;MATCH($J391,SorP!$B$1:$B$6230,0))))</f>
        <v/>
      </c>
      <c r="U391" s="241"/>
      <c r="V391" s="275" t="e">
        <f>IF(C391="",NA(),MATCH($B391&amp;$C391,'Smelter Look-up'!$J:$J,0))</f>
        <v>#N/A</v>
      </c>
      <c r="W391" s="276"/>
      <c r="X391" s="276">
        <f t="shared" ca="1" si="58"/>
        <v>0</v>
      </c>
      <c r="Y391" s="276"/>
      <c r="Z391" s="276"/>
      <c r="AB391" s="278" t="str">
        <f t="shared" si="59"/>
        <v/>
      </c>
    </row>
    <row r="392" spans="1:28" s="277" customFormat="1" ht="20.25">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57"/>
        <v/>
      </c>
      <c r="T392" s="225" t="str">
        <f ca="1">IF(B392="","",IF(ISERROR(MATCH($J392,SorP!$B$1:$B$6230,0)),"",INDIRECT("'SorP'!$A$"&amp;MATCH($J392,SorP!$B$1:$B$6230,0))))</f>
        <v/>
      </c>
      <c r="U392" s="241"/>
      <c r="V392" s="275" t="e">
        <f>IF(C392="",NA(),MATCH($B392&amp;$C392,'Smelter Look-up'!$J:$J,0))</f>
        <v>#N/A</v>
      </c>
      <c r="W392" s="276"/>
      <c r="X392" s="276">
        <f t="shared" ca="1" si="58"/>
        <v>0</v>
      </c>
      <c r="Y392" s="276"/>
      <c r="Z392" s="276"/>
      <c r="AB392" s="278" t="str">
        <f t="shared" si="59"/>
        <v/>
      </c>
    </row>
    <row r="393" spans="1:28" s="277" customFormat="1" ht="20.25">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57"/>
        <v/>
      </c>
      <c r="T393" s="225" t="str">
        <f ca="1">IF(B393="","",IF(ISERROR(MATCH($J393,SorP!$B$1:$B$6230,0)),"",INDIRECT("'SorP'!$A$"&amp;MATCH($J393,SorP!$B$1:$B$6230,0))))</f>
        <v/>
      </c>
      <c r="U393" s="241"/>
      <c r="V393" s="275" t="e">
        <f>IF(C393="",NA(),MATCH($B393&amp;$C393,'Smelter Look-up'!$J:$J,0))</f>
        <v>#N/A</v>
      </c>
      <c r="W393" s="276"/>
      <c r="X393" s="276">
        <f t="shared" ca="1" si="58"/>
        <v>0</v>
      </c>
      <c r="Y393" s="276"/>
      <c r="Z393" s="276"/>
      <c r="AB393" s="278" t="str">
        <f t="shared" si="59"/>
        <v/>
      </c>
    </row>
    <row r="394" spans="1:28" s="277" customFormat="1" ht="20.25">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57"/>
        <v/>
      </c>
      <c r="T394" s="225" t="str">
        <f ca="1">IF(B394="","",IF(ISERROR(MATCH($J394,SorP!$B$1:$B$6230,0)),"",INDIRECT("'SorP'!$A$"&amp;MATCH($J394,SorP!$B$1:$B$6230,0))))</f>
        <v/>
      </c>
      <c r="U394" s="241"/>
      <c r="V394" s="275" t="e">
        <f>IF(C394="",NA(),MATCH($B394&amp;$C394,'Smelter Look-up'!$J:$J,0))</f>
        <v>#N/A</v>
      </c>
      <c r="W394" s="276"/>
      <c r="X394" s="276">
        <f t="shared" ca="1" si="58"/>
        <v>0</v>
      </c>
      <c r="Y394" s="276"/>
      <c r="Z394" s="276"/>
      <c r="AB394" s="278" t="str">
        <f t="shared" si="59"/>
        <v/>
      </c>
    </row>
    <row r="395" spans="1:28" s="277" customFormat="1" ht="20.25">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57"/>
        <v/>
      </c>
      <c r="T395" s="225" t="str">
        <f ca="1">IF(B395="","",IF(ISERROR(MATCH($J395,SorP!$B$1:$B$6230,0)),"",INDIRECT("'SorP'!$A$"&amp;MATCH($J395,SorP!$B$1:$B$6230,0))))</f>
        <v/>
      </c>
      <c r="U395" s="241"/>
      <c r="V395" s="275" t="e">
        <f>IF(C395="",NA(),MATCH($B395&amp;$C395,'Smelter Look-up'!$J:$J,0))</f>
        <v>#N/A</v>
      </c>
      <c r="W395" s="276"/>
      <c r="X395" s="276">
        <f t="shared" ca="1" si="58"/>
        <v>0</v>
      </c>
      <c r="Y395" s="276"/>
      <c r="Z395" s="276"/>
      <c r="AB395" s="278" t="str">
        <f t="shared" si="59"/>
        <v/>
      </c>
    </row>
    <row r="396" spans="1:28" s="277" customFormat="1" ht="20.25">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57"/>
        <v/>
      </c>
      <c r="T396" s="225" t="str">
        <f ca="1">IF(B396="","",IF(ISERROR(MATCH($J396,SorP!$B$1:$B$6230,0)),"",INDIRECT("'SorP'!$A$"&amp;MATCH($J396,SorP!$B$1:$B$6230,0))))</f>
        <v/>
      </c>
      <c r="U396" s="241"/>
      <c r="V396" s="275" t="e">
        <f>IF(C396="",NA(),MATCH($B396&amp;$C396,'Smelter Look-up'!$J:$J,0))</f>
        <v>#N/A</v>
      </c>
      <c r="W396" s="276"/>
      <c r="X396" s="276">
        <f t="shared" ca="1" si="58"/>
        <v>0</v>
      </c>
      <c r="Y396" s="276"/>
      <c r="Z396" s="276"/>
      <c r="AB396" s="278" t="str">
        <f t="shared" si="59"/>
        <v/>
      </c>
    </row>
    <row r="397" spans="1:28" s="277" customFormat="1" ht="20.25">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57"/>
        <v/>
      </c>
      <c r="T397" s="225" t="str">
        <f ca="1">IF(B397="","",IF(ISERROR(MATCH($J397,SorP!$B$1:$B$6230,0)),"",INDIRECT("'SorP'!$A$"&amp;MATCH($J397,SorP!$B$1:$B$6230,0))))</f>
        <v/>
      </c>
      <c r="U397" s="241"/>
      <c r="V397" s="275" t="e">
        <f>IF(C397="",NA(),MATCH($B397&amp;$C397,'Smelter Look-up'!$J:$J,0))</f>
        <v>#N/A</v>
      </c>
      <c r="W397" s="276"/>
      <c r="X397" s="276">
        <f t="shared" ca="1" si="58"/>
        <v>0</v>
      </c>
      <c r="Y397" s="276"/>
      <c r="Z397" s="276"/>
      <c r="AB397" s="278" t="str">
        <f t="shared" si="59"/>
        <v/>
      </c>
    </row>
    <row r="398" spans="1:28" s="277" customFormat="1" ht="20.25">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57"/>
        <v/>
      </c>
      <c r="T398" s="225" t="str">
        <f ca="1">IF(B398="","",IF(ISERROR(MATCH($J398,SorP!$B$1:$B$6230,0)),"",INDIRECT("'SorP'!$A$"&amp;MATCH($J398,SorP!$B$1:$B$6230,0))))</f>
        <v/>
      </c>
      <c r="U398" s="241"/>
      <c r="V398" s="275" t="e">
        <f>IF(C398="",NA(),MATCH($B398&amp;$C398,'Smelter Look-up'!$J:$J,0))</f>
        <v>#N/A</v>
      </c>
      <c r="W398" s="276"/>
      <c r="X398" s="276">
        <f t="shared" ca="1" si="58"/>
        <v>0</v>
      </c>
      <c r="Y398" s="276"/>
      <c r="Z398" s="276"/>
      <c r="AB398" s="278" t="str">
        <f t="shared" si="59"/>
        <v/>
      </c>
    </row>
    <row r="399" spans="1:28" s="277" customFormat="1" ht="20.25">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57"/>
        <v/>
      </c>
      <c r="T399" s="225" t="str">
        <f ca="1">IF(B399="","",IF(ISERROR(MATCH($J399,SorP!$B$1:$B$6230,0)),"",INDIRECT("'SorP'!$A$"&amp;MATCH($J399,SorP!$B$1:$B$6230,0))))</f>
        <v/>
      </c>
      <c r="U399" s="241"/>
      <c r="V399" s="275" t="e">
        <f>IF(C399="",NA(),MATCH($B399&amp;$C399,'Smelter Look-up'!$J:$J,0))</f>
        <v>#N/A</v>
      </c>
      <c r="W399" s="276"/>
      <c r="X399" s="276">
        <f t="shared" ca="1" si="58"/>
        <v>0</v>
      </c>
      <c r="Y399" s="276"/>
      <c r="Z399" s="276"/>
      <c r="AB399" s="278" t="str">
        <f t="shared" si="59"/>
        <v/>
      </c>
    </row>
    <row r="400" spans="1:28" s="277" customFormat="1" ht="20.25">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57"/>
        <v/>
      </c>
      <c r="T400" s="225" t="str">
        <f ca="1">IF(B400="","",IF(ISERROR(MATCH($J400,SorP!$B$1:$B$6230,0)),"",INDIRECT("'SorP'!$A$"&amp;MATCH($J400,SorP!$B$1:$B$6230,0))))</f>
        <v/>
      </c>
      <c r="U400" s="241"/>
      <c r="V400" s="275" t="e">
        <f>IF(C400="",NA(),MATCH($B400&amp;$C400,'Smelter Look-up'!$J:$J,0))</f>
        <v>#N/A</v>
      </c>
      <c r="W400" s="276"/>
      <c r="X400" s="276">
        <f t="shared" ca="1" si="58"/>
        <v>0</v>
      </c>
      <c r="Y400" s="276"/>
      <c r="Z400" s="276"/>
      <c r="AB400" s="278" t="str">
        <f t="shared" si="59"/>
        <v/>
      </c>
    </row>
    <row r="401" spans="1:28" s="277" customFormat="1" ht="20.25">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57"/>
        <v/>
      </c>
      <c r="T401" s="225" t="str">
        <f ca="1">IF(B401="","",IF(ISERROR(MATCH($J401,SorP!$B$1:$B$6230,0)),"",INDIRECT("'SorP'!$A$"&amp;MATCH($J401,SorP!$B$1:$B$6230,0))))</f>
        <v/>
      </c>
      <c r="U401" s="241"/>
      <c r="V401" s="275" t="e">
        <f>IF(C401="",NA(),MATCH($B401&amp;$C401,'Smelter Look-up'!$J:$J,0))</f>
        <v>#N/A</v>
      </c>
      <c r="W401" s="276"/>
      <c r="X401" s="276">
        <f t="shared" ca="1" si="58"/>
        <v>0</v>
      </c>
      <c r="Y401" s="276"/>
      <c r="Z401" s="276"/>
      <c r="AB401" s="278" t="str">
        <f t="shared" si="59"/>
        <v/>
      </c>
    </row>
    <row r="402" spans="1:28" s="277" customFormat="1" ht="20.25">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57"/>
        <v/>
      </c>
      <c r="T402" s="225" t="str">
        <f ca="1">IF(B402="","",IF(ISERROR(MATCH($J402,SorP!$B$1:$B$6230,0)),"",INDIRECT("'SorP'!$A$"&amp;MATCH($J402,SorP!$B$1:$B$6230,0))))</f>
        <v/>
      </c>
      <c r="U402" s="241"/>
      <c r="V402" s="275" t="e">
        <f>IF(C402="",NA(),MATCH($B402&amp;$C402,'Smelter Look-up'!$J:$J,0))</f>
        <v>#N/A</v>
      </c>
      <c r="W402" s="276"/>
      <c r="X402" s="276">
        <f t="shared" ca="1" si="58"/>
        <v>0</v>
      </c>
      <c r="Y402" s="276"/>
      <c r="Z402" s="276"/>
      <c r="AB402" s="278" t="str">
        <f t="shared" si="59"/>
        <v/>
      </c>
    </row>
    <row r="403" spans="1:28" s="277" customFormat="1" ht="20.25">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57"/>
        <v/>
      </c>
      <c r="T403" s="225" t="str">
        <f ca="1">IF(B403="","",IF(ISERROR(MATCH($J403,SorP!$B$1:$B$6230,0)),"",INDIRECT("'SorP'!$A$"&amp;MATCH($J403,SorP!$B$1:$B$6230,0))))</f>
        <v/>
      </c>
      <c r="U403" s="241"/>
      <c r="V403" s="275" t="e">
        <f>IF(C403="",NA(),MATCH($B403&amp;$C403,'Smelter Look-up'!$J:$J,0))</f>
        <v>#N/A</v>
      </c>
      <c r="W403" s="276"/>
      <c r="X403" s="276">
        <f t="shared" ca="1" si="58"/>
        <v>0</v>
      </c>
      <c r="Y403" s="276"/>
      <c r="Z403" s="276"/>
      <c r="AB403" s="278" t="str">
        <f t="shared" si="59"/>
        <v/>
      </c>
    </row>
    <row r="404" spans="1:28" s="277" customFormat="1" ht="20.25">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57"/>
        <v/>
      </c>
      <c r="T404" s="225" t="str">
        <f ca="1">IF(B404="","",IF(ISERROR(MATCH($J404,SorP!$B$1:$B$6230,0)),"",INDIRECT("'SorP'!$A$"&amp;MATCH($J404,SorP!$B$1:$B$6230,0))))</f>
        <v/>
      </c>
      <c r="U404" s="241"/>
      <c r="V404" s="275" t="e">
        <f>IF(C404="",NA(),MATCH($B404&amp;$C404,'Smelter Look-up'!$J:$J,0))</f>
        <v>#N/A</v>
      </c>
      <c r="W404" s="276"/>
      <c r="X404" s="276">
        <f t="shared" ca="1" si="58"/>
        <v>0</v>
      </c>
      <c r="Y404" s="276"/>
      <c r="Z404" s="276"/>
      <c r="AB404" s="278" t="str">
        <f t="shared" si="59"/>
        <v/>
      </c>
    </row>
    <row r="405" spans="1:28" s="277" customFormat="1" ht="20.25">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57"/>
        <v/>
      </c>
      <c r="T405" s="225" t="str">
        <f ca="1">IF(B405="","",IF(ISERROR(MATCH($J405,SorP!$B$1:$B$6230,0)),"",INDIRECT("'SorP'!$A$"&amp;MATCH($J405,SorP!$B$1:$B$6230,0))))</f>
        <v/>
      </c>
      <c r="U405" s="241"/>
      <c r="V405" s="275" t="e">
        <f>IF(C405="",NA(),MATCH($B405&amp;$C405,'Smelter Look-up'!$J:$J,0))</f>
        <v>#N/A</v>
      </c>
      <c r="W405" s="276"/>
      <c r="X405" s="276">
        <f t="shared" ca="1" si="58"/>
        <v>0</v>
      </c>
      <c r="Y405" s="276"/>
      <c r="Z405" s="276"/>
      <c r="AB405" s="278" t="str">
        <f t="shared" si="59"/>
        <v/>
      </c>
    </row>
    <row r="406" spans="1:28" s="277" customFormat="1" ht="20.25">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57"/>
        <v/>
      </c>
      <c r="T406" s="225" t="str">
        <f ca="1">IF(B406="","",IF(ISERROR(MATCH($J406,SorP!$B$1:$B$6230,0)),"",INDIRECT("'SorP'!$A$"&amp;MATCH($J406,SorP!$B$1:$B$6230,0))))</f>
        <v/>
      </c>
      <c r="U406" s="241"/>
      <c r="V406" s="275" t="e">
        <f>IF(C406="",NA(),MATCH($B406&amp;$C406,'Smelter Look-up'!$J:$J,0))</f>
        <v>#N/A</v>
      </c>
      <c r="W406" s="276"/>
      <c r="X406" s="276">
        <f t="shared" ca="1" si="58"/>
        <v>0</v>
      </c>
      <c r="Y406" s="276"/>
      <c r="Z406" s="276"/>
      <c r="AB406" s="278" t="str">
        <f t="shared" si="59"/>
        <v/>
      </c>
    </row>
    <row r="407" spans="1:28" s="277" customFormat="1" ht="20.25">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57"/>
        <v/>
      </c>
      <c r="T407" s="225" t="str">
        <f ca="1">IF(B407="","",IF(ISERROR(MATCH($J407,SorP!$B$1:$B$6230,0)),"",INDIRECT("'SorP'!$A$"&amp;MATCH($J407,SorP!$B$1:$B$6230,0))))</f>
        <v/>
      </c>
      <c r="U407" s="241"/>
      <c r="V407" s="275" t="e">
        <f>IF(C407="",NA(),MATCH($B407&amp;$C407,'Smelter Look-up'!$J:$J,0))</f>
        <v>#N/A</v>
      </c>
      <c r="W407" s="276"/>
      <c r="X407" s="276">
        <f t="shared" ca="1" si="58"/>
        <v>0</v>
      </c>
      <c r="Y407" s="276"/>
      <c r="Z407" s="276"/>
      <c r="AB407" s="278" t="str">
        <f t="shared" si="59"/>
        <v/>
      </c>
    </row>
    <row r="408" spans="1:28" s="277" customFormat="1" ht="20.25">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57"/>
        <v/>
      </c>
      <c r="T408" s="225" t="str">
        <f ca="1">IF(B408="","",IF(ISERROR(MATCH($J408,SorP!$B$1:$B$6230,0)),"",INDIRECT("'SorP'!$A$"&amp;MATCH($J408,SorP!$B$1:$B$6230,0))))</f>
        <v/>
      </c>
      <c r="U408" s="241"/>
      <c r="V408" s="275" t="e">
        <f>IF(C408="",NA(),MATCH($B408&amp;$C408,'Smelter Look-up'!$J:$J,0))</f>
        <v>#N/A</v>
      </c>
      <c r="W408" s="276"/>
      <c r="X408" s="276">
        <f t="shared" ca="1" si="58"/>
        <v>0</v>
      </c>
      <c r="Y408" s="276"/>
      <c r="Z408" s="276"/>
      <c r="AB408" s="278" t="str">
        <f t="shared" si="59"/>
        <v/>
      </c>
    </row>
    <row r="409" spans="1:28" s="277" customFormat="1" ht="20.25">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57"/>
        <v/>
      </c>
      <c r="T409" s="225" t="str">
        <f ca="1">IF(B409="","",IF(ISERROR(MATCH($J409,SorP!$B$1:$B$6230,0)),"",INDIRECT("'SorP'!$A$"&amp;MATCH($J409,SorP!$B$1:$B$6230,0))))</f>
        <v/>
      </c>
      <c r="U409" s="241"/>
      <c r="V409" s="275" t="e">
        <f>IF(C409="",NA(),MATCH($B409&amp;$C409,'Smelter Look-up'!$J:$J,0))</f>
        <v>#N/A</v>
      </c>
      <c r="W409" s="276"/>
      <c r="X409" s="276">
        <f t="shared" ca="1" si="58"/>
        <v>0</v>
      </c>
      <c r="Y409" s="276"/>
      <c r="Z409" s="276"/>
      <c r="AB409" s="278" t="str">
        <f t="shared" si="59"/>
        <v/>
      </c>
    </row>
    <row r="410" spans="1:28" s="277" customFormat="1" ht="20.25">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ca="1" si="57"/>
        <v/>
      </c>
      <c r="T410" s="225" t="str">
        <f ca="1">IF(B410="","",IF(ISERROR(MATCH($J410,SorP!$B$1:$B$6230,0)),"",INDIRECT("'SorP'!$A$"&amp;MATCH($J410,SorP!$B$1:$B$6230,0))))</f>
        <v/>
      </c>
      <c r="U410" s="241"/>
      <c r="V410" s="275" t="e">
        <f>IF(C410="",NA(),MATCH($B410&amp;$C410,'Smelter Look-up'!$J:$J,0))</f>
        <v>#N/A</v>
      </c>
      <c r="W410" s="276"/>
      <c r="X410" s="276">
        <f t="shared" ca="1" si="58"/>
        <v>0</v>
      </c>
      <c r="Y410" s="276"/>
      <c r="Z410" s="276"/>
      <c r="AB410" s="278" t="str">
        <f t="shared" si="59"/>
        <v/>
      </c>
    </row>
    <row r="411" spans="1:28" s="277" customFormat="1" ht="20.25">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57"/>
        <v/>
      </c>
      <c r="T411" s="225" t="str">
        <f ca="1">IF(B411="","",IF(ISERROR(MATCH($J411,SorP!$B$1:$B$6230,0)),"",INDIRECT("'SorP'!$A$"&amp;MATCH($J411,SorP!$B$1:$B$6230,0))))</f>
        <v/>
      </c>
      <c r="U411" s="241"/>
      <c r="V411" s="275" t="e">
        <f>IF(C411="",NA(),MATCH($B411&amp;$C411,'Smelter Look-up'!$J:$J,0))</f>
        <v>#N/A</v>
      </c>
      <c r="W411" s="276"/>
      <c r="X411" s="276">
        <f t="shared" ca="1" si="58"/>
        <v>0</v>
      </c>
      <c r="Y411" s="276"/>
      <c r="Z411" s="276"/>
      <c r="AB411" s="278" t="str">
        <f t="shared" si="59"/>
        <v/>
      </c>
    </row>
    <row r="412" spans="1:28" s="277" customFormat="1" ht="20.25">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ca="1" si="57"/>
        <v/>
      </c>
      <c r="T412" s="225" t="str">
        <f ca="1">IF(B412="","",IF(ISERROR(MATCH($J412,SorP!$B$1:$B$6230,0)),"",INDIRECT("'SorP'!$A$"&amp;MATCH($J412,SorP!$B$1:$B$6230,0))))</f>
        <v/>
      </c>
      <c r="U412" s="241"/>
      <c r="V412" s="275" t="e">
        <f>IF(C412="",NA(),MATCH($B412&amp;$C412,'Smelter Look-up'!$J:$J,0))</f>
        <v>#N/A</v>
      </c>
      <c r="W412" s="276"/>
      <c r="X412" s="276">
        <f t="shared" ca="1" si="58"/>
        <v>0</v>
      </c>
      <c r="Y412" s="276"/>
      <c r="Z412" s="276"/>
      <c r="AB412" s="278" t="str">
        <f t="shared" si="59"/>
        <v/>
      </c>
    </row>
    <row r="413" spans="1:28" s="277" customFormat="1" ht="20.25">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57"/>
        <v/>
      </c>
      <c r="T413" s="225" t="str">
        <f ca="1">IF(B413="","",IF(ISERROR(MATCH($J413,SorP!$B$1:$B$6230,0)),"",INDIRECT("'SorP'!$A$"&amp;MATCH($J413,SorP!$B$1:$B$6230,0))))</f>
        <v/>
      </c>
      <c r="U413" s="241"/>
      <c r="V413" s="275" t="e">
        <f>IF(C413="",NA(),MATCH($B413&amp;$C413,'Smelter Look-up'!$J:$J,0))</f>
        <v>#N/A</v>
      </c>
      <c r="W413" s="276"/>
      <c r="X413" s="276">
        <f t="shared" ca="1" si="58"/>
        <v>0</v>
      </c>
      <c r="Y413" s="276"/>
      <c r="Z413" s="276"/>
      <c r="AB413" s="278" t="str">
        <f t="shared" si="59"/>
        <v/>
      </c>
    </row>
    <row r="414" spans="1:28" s="277" customFormat="1" ht="20.25">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57"/>
        <v/>
      </c>
      <c r="T414" s="225" t="str">
        <f ca="1">IF(B414="","",IF(ISERROR(MATCH($J414,SorP!$B$1:$B$6230,0)),"",INDIRECT("'SorP'!$A$"&amp;MATCH($J414,SorP!$B$1:$B$6230,0))))</f>
        <v/>
      </c>
      <c r="U414" s="241"/>
      <c r="V414" s="275" t="e">
        <f>IF(C414="",NA(),MATCH($B414&amp;$C414,'Smelter Look-up'!$J:$J,0))</f>
        <v>#N/A</v>
      </c>
      <c r="W414" s="276"/>
      <c r="X414" s="276">
        <f t="shared" ca="1" si="58"/>
        <v>0</v>
      </c>
      <c r="Y414" s="276"/>
      <c r="Z414" s="276"/>
      <c r="AB414" s="278" t="str">
        <f t="shared" si="59"/>
        <v/>
      </c>
    </row>
    <row r="415" spans="1:28" s="277" customFormat="1" ht="20.25">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57"/>
        <v/>
      </c>
      <c r="T415" s="225" t="str">
        <f ca="1">IF(B415="","",IF(ISERROR(MATCH($J415,SorP!$B$1:$B$6230,0)),"",INDIRECT("'SorP'!$A$"&amp;MATCH($J415,SorP!$B$1:$B$6230,0))))</f>
        <v/>
      </c>
      <c r="U415" s="241"/>
      <c r="V415" s="275" t="e">
        <f>IF(C415="",NA(),MATCH($B415&amp;$C415,'Smelter Look-up'!$J:$J,0))</f>
        <v>#N/A</v>
      </c>
      <c r="W415" s="276"/>
      <c r="X415" s="276">
        <f t="shared" ca="1" si="58"/>
        <v>0</v>
      </c>
      <c r="Y415" s="276"/>
      <c r="Z415" s="276"/>
      <c r="AB415" s="278" t="str">
        <f t="shared" si="59"/>
        <v/>
      </c>
    </row>
    <row r="416" spans="1:28" s="277" customFormat="1" ht="20.25">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57"/>
        <v/>
      </c>
      <c r="T416" s="225" t="str">
        <f ca="1">IF(B416="","",IF(ISERROR(MATCH($J416,SorP!$B$1:$B$6230,0)),"",INDIRECT("'SorP'!$A$"&amp;MATCH($J416,SorP!$B$1:$B$6230,0))))</f>
        <v/>
      </c>
      <c r="U416" s="241"/>
      <c r="V416" s="275" t="e">
        <f>IF(C416="",NA(),MATCH($B416&amp;$C416,'Smelter Look-up'!$J:$J,0))</f>
        <v>#N/A</v>
      </c>
      <c r="W416" s="276"/>
      <c r="X416" s="276">
        <f t="shared" ca="1" si="58"/>
        <v>0</v>
      </c>
      <c r="Y416" s="276"/>
      <c r="Z416" s="276"/>
      <c r="AB416" s="278" t="str">
        <f t="shared" si="59"/>
        <v/>
      </c>
    </row>
    <row r="417" spans="1:28" s="277" customFormat="1" ht="20.25">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57"/>
        <v/>
      </c>
      <c r="T417" s="225" t="str">
        <f ca="1">IF(B417="","",IF(ISERROR(MATCH($J417,SorP!$B$1:$B$6230,0)),"",INDIRECT("'SorP'!$A$"&amp;MATCH($J417,SorP!$B$1:$B$6230,0))))</f>
        <v/>
      </c>
      <c r="U417" s="241"/>
      <c r="V417" s="275" t="e">
        <f>IF(C417="",NA(),MATCH($B417&amp;$C417,'Smelter Look-up'!$J:$J,0))</f>
        <v>#N/A</v>
      </c>
      <c r="W417" s="276"/>
      <c r="X417" s="276">
        <f t="shared" ca="1" si="58"/>
        <v>0</v>
      </c>
      <c r="Y417" s="276"/>
      <c r="Z417" s="276"/>
      <c r="AB417" s="278" t="str">
        <f t="shared" si="59"/>
        <v/>
      </c>
    </row>
    <row r="418" spans="1:28" s="277" customFormat="1" ht="20.25">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57"/>
        <v/>
      </c>
      <c r="T418" s="225" t="str">
        <f ca="1">IF(B418="","",IF(ISERROR(MATCH($J418,SorP!$B$1:$B$6230,0)),"",INDIRECT("'SorP'!$A$"&amp;MATCH($J418,SorP!$B$1:$B$6230,0))))</f>
        <v/>
      </c>
      <c r="U418" s="241"/>
      <c r="V418" s="275" t="e">
        <f>IF(C418="",NA(),MATCH($B418&amp;$C418,'Smelter Look-up'!$J:$J,0))</f>
        <v>#N/A</v>
      </c>
      <c r="W418" s="276"/>
      <c r="X418" s="276">
        <f t="shared" ca="1" si="58"/>
        <v>0</v>
      </c>
      <c r="Y418" s="276"/>
      <c r="Z418" s="276"/>
      <c r="AB418" s="278" t="str">
        <f t="shared" si="59"/>
        <v/>
      </c>
    </row>
    <row r="419" spans="1:28" s="277" customFormat="1" ht="20.25">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57"/>
        <v/>
      </c>
      <c r="T419" s="225" t="str">
        <f ca="1">IF(B419="","",IF(ISERROR(MATCH($J419,SorP!$B$1:$B$6230,0)),"",INDIRECT("'SorP'!$A$"&amp;MATCH($J419,SorP!$B$1:$B$6230,0))))</f>
        <v/>
      </c>
      <c r="U419" s="241"/>
      <c r="V419" s="275" t="e">
        <f>IF(C419="",NA(),MATCH($B419&amp;$C419,'Smelter Look-up'!$J:$J,0))</f>
        <v>#N/A</v>
      </c>
      <c r="W419" s="276"/>
      <c r="X419" s="276">
        <f t="shared" ca="1" si="58"/>
        <v>0</v>
      </c>
      <c r="Y419" s="276"/>
      <c r="Z419" s="276"/>
      <c r="AB419" s="278" t="str">
        <f t="shared" si="59"/>
        <v/>
      </c>
    </row>
    <row r="420" spans="1:28" s="277" customFormat="1" ht="20.25">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57"/>
        <v/>
      </c>
      <c r="T420" s="225" t="str">
        <f ca="1">IF(B420="","",IF(ISERROR(MATCH($J420,SorP!$B$1:$B$6230,0)),"",INDIRECT("'SorP'!$A$"&amp;MATCH($J420,SorP!$B$1:$B$6230,0))))</f>
        <v/>
      </c>
      <c r="U420" s="241"/>
      <c r="V420" s="275" t="e">
        <f>IF(C420="",NA(),MATCH($B420&amp;$C420,'Smelter Look-up'!$J:$J,0))</f>
        <v>#N/A</v>
      </c>
      <c r="W420" s="276"/>
      <c r="X420" s="276">
        <f t="shared" ca="1" si="58"/>
        <v>0</v>
      </c>
      <c r="Y420" s="276"/>
      <c r="Z420" s="276"/>
      <c r="AB420" s="278" t="str">
        <f t="shared" si="59"/>
        <v/>
      </c>
    </row>
    <row r="421" spans="1:28" s="277" customFormat="1" ht="20.25">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ca="1" si="57"/>
        <v/>
      </c>
      <c r="T421" s="225" t="str">
        <f ca="1">IF(B421="","",IF(ISERROR(MATCH($J421,SorP!$B$1:$B$6230,0)),"",INDIRECT("'SorP'!$A$"&amp;MATCH($J421,SorP!$B$1:$B$6230,0))))</f>
        <v/>
      </c>
      <c r="U421" s="241"/>
      <c r="V421" s="275" t="e">
        <f>IF(C421="",NA(),MATCH($B421&amp;$C421,'Smelter Look-up'!$J:$J,0))</f>
        <v>#N/A</v>
      </c>
      <c r="W421" s="276"/>
      <c r="X421" s="276">
        <f t="shared" ca="1" si="58"/>
        <v>0</v>
      </c>
      <c r="Y421" s="276"/>
      <c r="Z421" s="276"/>
      <c r="AB421" s="278" t="str">
        <f t="shared" si="59"/>
        <v/>
      </c>
    </row>
    <row r="422" spans="1:28" s="277" customFormat="1" ht="20.25">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ref="S422:S452" ca="1" si="60">IF(B422="","",IF(ISERROR(MATCH($E422,CL,0)),"Unknown",INDIRECT("'C'!$A$"&amp;MATCH($E422,CL,0)+1)))</f>
        <v/>
      </c>
      <c r="T422" s="225" t="str">
        <f ca="1">IF(B422="","",IF(ISERROR(MATCH($J422,SorP!$B$1:$B$6230,0)),"",INDIRECT("'SorP'!$A$"&amp;MATCH($J422,SorP!$B$1:$B$6230,0))))</f>
        <v/>
      </c>
      <c r="U422" s="241"/>
      <c r="V422" s="275" t="e">
        <f>IF(C422="",NA(),MATCH($B422&amp;$C422,'Smelter Look-up'!$J:$J,0))</f>
        <v>#N/A</v>
      </c>
      <c r="W422" s="276"/>
      <c r="X422" s="276">
        <f t="shared" ref="X422:X452" ca="1" si="61">IF(AND(C422="Smelter not listed",OR(LEN(D422)=0,LEN(E422)=0)),1,0)</f>
        <v>0</v>
      </c>
      <c r="Y422" s="276"/>
      <c r="Z422" s="276"/>
      <c r="AB422" s="278" t="str">
        <f t="shared" ref="AB422:AB452" si="62">B422&amp;C422</f>
        <v/>
      </c>
    </row>
    <row r="423" spans="1:28" s="277" customFormat="1" ht="20.25">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60"/>
        <v/>
      </c>
      <c r="T423" s="225" t="str">
        <f ca="1">IF(B423="","",IF(ISERROR(MATCH($J423,SorP!$B$1:$B$6230,0)),"",INDIRECT("'SorP'!$A$"&amp;MATCH($J423,SorP!$B$1:$B$6230,0))))</f>
        <v/>
      </c>
      <c r="U423" s="241"/>
      <c r="V423" s="275" t="e">
        <f>IF(C423="",NA(),MATCH($B423&amp;$C423,'Smelter Look-up'!$J:$J,0))</f>
        <v>#N/A</v>
      </c>
      <c r="W423" s="276"/>
      <c r="X423" s="276">
        <f t="shared" ca="1" si="61"/>
        <v>0</v>
      </c>
      <c r="Y423" s="276"/>
      <c r="Z423" s="276"/>
      <c r="AB423" s="278" t="str">
        <f t="shared" si="62"/>
        <v/>
      </c>
    </row>
    <row r="424" spans="1:28" s="277" customFormat="1" ht="20.25">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60"/>
        <v/>
      </c>
      <c r="T424" s="225" t="str">
        <f ca="1">IF(B424="","",IF(ISERROR(MATCH($J424,SorP!$B$1:$B$6230,0)),"",INDIRECT("'SorP'!$A$"&amp;MATCH($J424,SorP!$B$1:$B$6230,0))))</f>
        <v/>
      </c>
      <c r="U424" s="241"/>
      <c r="V424" s="275" t="e">
        <f>IF(C424="",NA(),MATCH($B424&amp;$C424,'Smelter Look-up'!$J:$J,0))</f>
        <v>#N/A</v>
      </c>
      <c r="W424" s="276"/>
      <c r="X424" s="276">
        <f t="shared" ca="1" si="61"/>
        <v>0</v>
      </c>
      <c r="Y424" s="276"/>
      <c r="Z424" s="276"/>
      <c r="AB424" s="278" t="str">
        <f t="shared" si="62"/>
        <v/>
      </c>
    </row>
    <row r="425" spans="1:28" s="277" customFormat="1" ht="20.25">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60"/>
        <v/>
      </c>
      <c r="T425" s="225" t="str">
        <f ca="1">IF(B425="","",IF(ISERROR(MATCH($J425,SorP!$B$1:$B$6230,0)),"",INDIRECT("'SorP'!$A$"&amp;MATCH($J425,SorP!$B$1:$B$6230,0))))</f>
        <v/>
      </c>
      <c r="U425" s="241"/>
      <c r="V425" s="275" t="e">
        <f>IF(C425="",NA(),MATCH($B425&amp;$C425,'Smelter Look-up'!$J:$J,0))</f>
        <v>#N/A</v>
      </c>
      <c r="W425" s="276"/>
      <c r="X425" s="276">
        <f t="shared" ca="1" si="61"/>
        <v>0</v>
      </c>
      <c r="Y425" s="276"/>
      <c r="Z425" s="276"/>
      <c r="AB425" s="278" t="str">
        <f t="shared" si="62"/>
        <v/>
      </c>
    </row>
    <row r="426" spans="1:28" s="277" customFormat="1" ht="20.25">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60"/>
        <v/>
      </c>
      <c r="T426" s="225" t="str">
        <f ca="1">IF(B426="","",IF(ISERROR(MATCH($J426,SorP!$B$1:$B$6230,0)),"",INDIRECT("'SorP'!$A$"&amp;MATCH($J426,SorP!$B$1:$B$6230,0))))</f>
        <v/>
      </c>
      <c r="U426" s="241"/>
      <c r="V426" s="275" t="e">
        <f>IF(C426="",NA(),MATCH($B426&amp;$C426,'Smelter Look-up'!$J:$J,0))</f>
        <v>#N/A</v>
      </c>
      <c r="W426" s="276"/>
      <c r="X426" s="276">
        <f t="shared" ca="1" si="61"/>
        <v>0</v>
      </c>
      <c r="Y426" s="276"/>
      <c r="Z426" s="276"/>
      <c r="AB426" s="278" t="str">
        <f t="shared" si="62"/>
        <v/>
      </c>
    </row>
    <row r="427" spans="1:28" s="277" customFormat="1" ht="20.25">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60"/>
        <v/>
      </c>
      <c r="T427" s="225" t="str">
        <f ca="1">IF(B427="","",IF(ISERROR(MATCH($J427,SorP!$B$1:$B$6230,0)),"",INDIRECT("'SorP'!$A$"&amp;MATCH($J427,SorP!$B$1:$B$6230,0))))</f>
        <v/>
      </c>
      <c r="U427" s="241"/>
      <c r="V427" s="275" t="e">
        <f>IF(C427="",NA(),MATCH($B427&amp;$C427,'Smelter Look-up'!$J:$J,0))</f>
        <v>#N/A</v>
      </c>
      <c r="W427" s="276"/>
      <c r="X427" s="276">
        <f t="shared" ca="1" si="61"/>
        <v>0</v>
      </c>
      <c r="Y427" s="276"/>
      <c r="Z427" s="276"/>
      <c r="AB427" s="278" t="str">
        <f t="shared" si="62"/>
        <v/>
      </c>
    </row>
    <row r="428" spans="1:28" s="277" customFormat="1" ht="20.25">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60"/>
        <v/>
      </c>
      <c r="T428" s="225" t="str">
        <f ca="1">IF(B428="","",IF(ISERROR(MATCH($J428,SorP!$B$1:$B$6230,0)),"",INDIRECT("'SorP'!$A$"&amp;MATCH($J428,SorP!$B$1:$B$6230,0))))</f>
        <v/>
      </c>
      <c r="U428" s="241"/>
      <c r="V428" s="275" t="e">
        <f>IF(C428="",NA(),MATCH($B428&amp;$C428,'Smelter Look-up'!$J:$J,0))</f>
        <v>#N/A</v>
      </c>
      <c r="W428" s="276"/>
      <c r="X428" s="276">
        <f t="shared" ca="1" si="61"/>
        <v>0</v>
      </c>
      <c r="Y428" s="276"/>
      <c r="Z428" s="276"/>
      <c r="AB428" s="278" t="str">
        <f t="shared" si="62"/>
        <v/>
      </c>
    </row>
    <row r="429" spans="1:28" s="277" customFormat="1" ht="20.25">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60"/>
        <v/>
      </c>
      <c r="T429" s="225" t="str">
        <f ca="1">IF(B429="","",IF(ISERROR(MATCH($J429,SorP!$B$1:$B$6230,0)),"",INDIRECT("'SorP'!$A$"&amp;MATCH($J429,SorP!$B$1:$B$6230,0))))</f>
        <v/>
      </c>
      <c r="U429" s="241"/>
      <c r="V429" s="275" t="e">
        <f>IF(C429="",NA(),MATCH($B429&amp;$C429,'Smelter Look-up'!$J:$J,0))</f>
        <v>#N/A</v>
      </c>
      <c r="W429" s="276"/>
      <c r="X429" s="276">
        <f t="shared" ca="1" si="61"/>
        <v>0</v>
      </c>
      <c r="Y429" s="276"/>
      <c r="Z429" s="276"/>
      <c r="AB429" s="278" t="str">
        <f t="shared" si="62"/>
        <v/>
      </c>
    </row>
    <row r="430" spans="1:28" s="277" customFormat="1" ht="20.25">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60"/>
        <v/>
      </c>
      <c r="T430" s="225" t="str">
        <f ca="1">IF(B430="","",IF(ISERROR(MATCH($J430,SorP!$B$1:$B$6230,0)),"",INDIRECT("'SorP'!$A$"&amp;MATCH($J430,SorP!$B$1:$B$6230,0))))</f>
        <v/>
      </c>
      <c r="U430" s="241"/>
      <c r="V430" s="275" t="e">
        <f>IF(C430="",NA(),MATCH($B430&amp;$C430,'Smelter Look-up'!$J:$J,0))</f>
        <v>#N/A</v>
      </c>
      <c r="W430" s="276"/>
      <c r="X430" s="276">
        <f t="shared" ca="1" si="61"/>
        <v>0</v>
      </c>
      <c r="Y430" s="276"/>
      <c r="Z430" s="276"/>
      <c r="AB430" s="278" t="str">
        <f t="shared" si="62"/>
        <v/>
      </c>
    </row>
    <row r="431" spans="1:28" s="277" customFormat="1" ht="20.25">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60"/>
        <v/>
      </c>
      <c r="T431" s="225" t="str">
        <f ca="1">IF(B431="","",IF(ISERROR(MATCH($J431,SorP!$B$1:$B$6230,0)),"",INDIRECT("'SorP'!$A$"&amp;MATCH($J431,SorP!$B$1:$B$6230,0))))</f>
        <v/>
      </c>
      <c r="U431" s="241"/>
      <c r="V431" s="275" t="e">
        <f>IF(C431="",NA(),MATCH($B431&amp;$C431,'Smelter Look-up'!$J:$J,0))</f>
        <v>#N/A</v>
      </c>
      <c r="W431" s="276"/>
      <c r="X431" s="276">
        <f t="shared" ca="1" si="61"/>
        <v>0</v>
      </c>
      <c r="Y431" s="276"/>
      <c r="Z431" s="276"/>
      <c r="AB431" s="278" t="str">
        <f t="shared" si="62"/>
        <v/>
      </c>
    </row>
    <row r="432" spans="1:28" s="277" customFormat="1" ht="20.25">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60"/>
        <v/>
      </c>
      <c r="T432" s="225" t="str">
        <f ca="1">IF(B432="","",IF(ISERROR(MATCH($J432,SorP!$B$1:$B$6230,0)),"",INDIRECT("'SorP'!$A$"&amp;MATCH($J432,SorP!$B$1:$B$6230,0))))</f>
        <v/>
      </c>
      <c r="U432" s="241"/>
      <c r="V432" s="275" t="e">
        <f>IF(C432="",NA(),MATCH($B432&amp;$C432,'Smelter Look-up'!$J:$J,0))</f>
        <v>#N/A</v>
      </c>
      <c r="W432" s="276"/>
      <c r="X432" s="276">
        <f t="shared" ca="1" si="61"/>
        <v>0</v>
      </c>
      <c r="Y432" s="276"/>
      <c r="Z432" s="276"/>
      <c r="AB432" s="278" t="str">
        <f t="shared" si="62"/>
        <v/>
      </c>
    </row>
    <row r="433" spans="1:28" s="277" customFormat="1" ht="20.25">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60"/>
        <v/>
      </c>
      <c r="T433" s="225" t="str">
        <f ca="1">IF(B433="","",IF(ISERROR(MATCH($J433,SorP!$B$1:$B$6230,0)),"",INDIRECT("'SorP'!$A$"&amp;MATCH($J433,SorP!$B$1:$B$6230,0))))</f>
        <v/>
      </c>
      <c r="U433" s="241"/>
      <c r="V433" s="275" t="e">
        <f>IF(C433="",NA(),MATCH($B433&amp;$C433,'Smelter Look-up'!$J:$J,0))</f>
        <v>#N/A</v>
      </c>
      <c r="W433" s="276"/>
      <c r="X433" s="276">
        <f t="shared" ca="1" si="61"/>
        <v>0</v>
      </c>
      <c r="Y433" s="276"/>
      <c r="Z433" s="276"/>
      <c r="AB433" s="278" t="str">
        <f t="shared" si="62"/>
        <v/>
      </c>
    </row>
    <row r="434" spans="1:28" s="277" customFormat="1" ht="20.25">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60"/>
        <v/>
      </c>
      <c r="T434" s="225" t="str">
        <f ca="1">IF(B434="","",IF(ISERROR(MATCH($J434,SorP!$B$1:$B$6230,0)),"",INDIRECT("'SorP'!$A$"&amp;MATCH($J434,SorP!$B$1:$B$6230,0))))</f>
        <v/>
      </c>
      <c r="U434" s="241"/>
      <c r="V434" s="275" t="e">
        <f>IF(C434="",NA(),MATCH($B434&amp;$C434,'Smelter Look-up'!$J:$J,0))</f>
        <v>#N/A</v>
      </c>
      <c r="W434" s="276"/>
      <c r="X434" s="276">
        <f t="shared" ca="1" si="61"/>
        <v>0</v>
      </c>
      <c r="Y434" s="276"/>
      <c r="Z434" s="276"/>
      <c r="AB434" s="278" t="str">
        <f t="shared" si="62"/>
        <v/>
      </c>
    </row>
    <row r="435" spans="1:28" s="277" customFormat="1" ht="20.25">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60"/>
        <v/>
      </c>
      <c r="T435" s="225" t="str">
        <f ca="1">IF(B435="","",IF(ISERROR(MATCH($J435,SorP!$B$1:$B$6230,0)),"",INDIRECT("'SorP'!$A$"&amp;MATCH($J435,SorP!$B$1:$B$6230,0))))</f>
        <v/>
      </c>
      <c r="U435" s="241"/>
      <c r="V435" s="275" t="e">
        <f>IF(C435="",NA(),MATCH($B435&amp;$C435,'Smelter Look-up'!$J:$J,0))</f>
        <v>#N/A</v>
      </c>
      <c r="W435" s="276"/>
      <c r="X435" s="276">
        <f t="shared" ca="1" si="61"/>
        <v>0</v>
      </c>
      <c r="Y435" s="276"/>
      <c r="Z435" s="276"/>
      <c r="AB435" s="278" t="str">
        <f t="shared" si="62"/>
        <v/>
      </c>
    </row>
    <row r="436" spans="1:28" s="277" customFormat="1" ht="20.25">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60"/>
        <v/>
      </c>
      <c r="T436" s="225" t="str">
        <f ca="1">IF(B436="","",IF(ISERROR(MATCH($J436,SorP!$B$1:$B$6230,0)),"",INDIRECT("'SorP'!$A$"&amp;MATCH($J436,SorP!$B$1:$B$6230,0))))</f>
        <v/>
      </c>
      <c r="U436" s="241"/>
      <c r="V436" s="275" t="e">
        <f>IF(C436="",NA(),MATCH($B436&amp;$C436,'Smelter Look-up'!$J:$J,0))</f>
        <v>#N/A</v>
      </c>
      <c r="W436" s="276"/>
      <c r="X436" s="276">
        <f t="shared" ca="1" si="61"/>
        <v>0</v>
      </c>
      <c r="Y436" s="276"/>
      <c r="Z436" s="276"/>
      <c r="AB436" s="278" t="str">
        <f t="shared" si="62"/>
        <v/>
      </c>
    </row>
    <row r="437" spans="1:28" s="277" customFormat="1" ht="20.25">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60"/>
        <v/>
      </c>
      <c r="T437" s="225" t="str">
        <f ca="1">IF(B437="","",IF(ISERROR(MATCH($J437,SorP!$B$1:$B$6230,0)),"",INDIRECT("'SorP'!$A$"&amp;MATCH($J437,SorP!$B$1:$B$6230,0))))</f>
        <v/>
      </c>
      <c r="U437" s="241"/>
      <c r="V437" s="275" t="e">
        <f>IF(C437="",NA(),MATCH($B437&amp;$C437,'Smelter Look-up'!$J:$J,0))</f>
        <v>#N/A</v>
      </c>
      <c r="W437" s="276"/>
      <c r="X437" s="276">
        <f t="shared" ca="1" si="61"/>
        <v>0</v>
      </c>
      <c r="Y437" s="276"/>
      <c r="Z437" s="276"/>
      <c r="AB437" s="278" t="str">
        <f t="shared" si="62"/>
        <v/>
      </c>
    </row>
    <row r="438" spans="1:28" s="277" customFormat="1" ht="20.25">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60"/>
        <v/>
      </c>
      <c r="T438" s="225" t="str">
        <f ca="1">IF(B438="","",IF(ISERROR(MATCH($J438,SorP!$B$1:$B$6230,0)),"",INDIRECT("'SorP'!$A$"&amp;MATCH($J438,SorP!$B$1:$B$6230,0))))</f>
        <v/>
      </c>
      <c r="U438" s="241"/>
      <c r="V438" s="275" t="e">
        <f>IF(C438="",NA(),MATCH($B438&amp;$C438,'Smelter Look-up'!$J:$J,0))</f>
        <v>#N/A</v>
      </c>
      <c r="W438" s="276"/>
      <c r="X438" s="276">
        <f t="shared" ca="1" si="61"/>
        <v>0</v>
      </c>
      <c r="Y438" s="276"/>
      <c r="Z438" s="276"/>
      <c r="AB438" s="278" t="str">
        <f t="shared" si="62"/>
        <v/>
      </c>
    </row>
    <row r="439" spans="1:28" s="277" customFormat="1" ht="20.25">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60"/>
        <v/>
      </c>
      <c r="T439" s="225" t="str">
        <f ca="1">IF(B439="","",IF(ISERROR(MATCH($J439,SorP!$B$1:$B$6230,0)),"",INDIRECT("'SorP'!$A$"&amp;MATCH($J439,SorP!$B$1:$B$6230,0))))</f>
        <v/>
      </c>
      <c r="U439" s="241"/>
      <c r="V439" s="275" t="e">
        <f>IF(C439="",NA(),MATCH($B439&amp;$C439,'Smelter Look-up'!$J:$J,0))</f>
        <v>#N/A</v>
      </c>
      <c r="W439" s="276"/>
      <c r="X439" s="276">
        <f t="shared" ca="1" si="61"/>
        <v>0</v>
      </c>
      <c r="Y439" s="276"/>
      <c r="Z439" s="276"/>
      <c r="AB439" s="278" t="str">
        <f t="shared" si="62"/>
        <v/>
      </c>
    </row>
    <row r="440" spans="1:28" s="277" customFormat="1" ht="20.25">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60"/>
        <v/>
      </c>
      <c r="T440" s="225" t="str">
        <f ca="1">IF(B440="","",IF(ISERROR(MATCH($J440,SorP!$B$1:$B$6230,0)),"",INDIRECT("'SorP'!$A$"&amp;MATCH($J440,SorP!$B$1:$B$6230,0))))</f>
        <v/>
      </c>
      <c r="U440" s="241"/>
      <c r="V440" s="275" t="e">
        <f>IF(C440="",NA(),MATCH($B440&amp;$C440,'Smelter Look-up'!$J:$J,0))</f>
        <v>#N/A</v>
      </c>
      <c r="W440" s="276"/>
      <c r="X440" s="276">
        <f t="shared" ca="1" si="61"/>
        <v>0</v>
      </c>
      <c r="Y440" s="276"/>
      <c r="Z440" s="276"/>
      <c r="AB440" s="278" t="str">
        <f t="shared" si="62"/>
        <v/>
      </c>
    </row>
    <row r="441" spans="1:28" s="277" customFormat="1" ht="20.25">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ca="1" si="60"/>
        <v/>
      </c>
      <c r="T441" s="225" t="str">
        <f ca="1">IF(B441="","",IF(ISERROR(MATCH($J441,SorP!$B$1:$B$6230,0)),"",INDIRECT("'SorP'!$A$"&amp;MATCH($J441,SorP!$B$1:$B$6230,0))))</f>
        <v/>
      </c>
      <c r="U441" s="241"/>
      <c r="V441" s="275" t="e">
        <f>IF(C441="",NA(),MATCH($B441&amp;$C441,'Smelter Look-up'!$J:$J,0))</f>
        <v>#N/A</v>
      </c>
      <c r="W441" s="276"/>
      <c r="X441" s="276">
        <f t="shared" ca="1" si="61"/>
        <v>0</v>
      </c>
      <c r="Y441" s="276"/>
      <c r="Z441" s="276"/>
      <c r="AB441" s="278" t="str">
        <f t="shared" si="62"/>
        <v/>
      </c>
    </row>
    <row r="442" spans="1:28" s="277" customFormat="1" ht="20.25">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ca="1" si="60"/>
        <v/>
      </c>
      <c r="T442" s="225" t="str">
        <f ca="1">IF(B442="","",IF(ISERROR(MATCH($J442,SorP!$B$1:$B$6230,0)),"",INDIRECT("'SorP'!$A$"&amp;MATCH($J442,SorP!$B$1:$B$6230,0))))</f>
        <v/>
      </c>
      <c r="U442" s="241"/>
      <c r="V442" s="275" t="e">
        <f>IF(C442="",NA(),MATCH($B442&amp;$C442,'Smelter Look-up'!$J:$J,0))</f>
        <v>#N/A</v>
      </c>
      <c r="W442" s="276"/>
      <c r="X442" s="276">
        <f t="shared" ca="1" si="61"/>
        <v>0</v>
      </c>
      <c r="Y442" s="276"/>
      <c r="Z442" s="276"/>
      <c r="AB442" s="278" t="str">
        <f t="shared" si="62"/>
        <v/>
      </c>
    </row>
    <row r="443" spans="1:28" s="277" customFormat="1" ht="20.25">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ca="1" si="60"/>
        <v/>
      </c>
      <c r="T443" s="225" t="str">
        <f ca="1">IF(B443="","",IF(ISERROR(MATCH($J443,SorP!$B$1:$B$6230,0)),"",INDIRECT("'SorP'!$A$"&amp;MATCH($J443,SorP!$B$1:$B$6230,0))))</f>
        <v/>
      </c>
      <c r="U443" s="241"/>
      <c r="V443" s="275" t="e">
        <f>IF(C443="",NA(),MATCH($B443&amp;$C443,'Smelter Look-up'!$J:$J,0))</f>
        <v>#N/A</v>
      </c>
      <c r="W443" s="276"/>
      <c r="X443" s="276">
        <f t="shared" ca="1" si="61"/>
        <v>0</v>
      </c>
      <c r="Y443" s="276"/>
      <c r="Z443" s="276"/>
      <c r="AB443" s="278" t="str">
        <f t="shared" si="62"/>
        <v/>
      </c>
    </row>
    <row r="444" spans="1:28" s="277" customFormat="1" ht="20.25">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ca="1" si="60"/>
        <v/>
      </c>
      <c r="T444" s="225" t="str">
        <f ca="1">IF(B444="","",IF(ISERROR(MATCH($J444,SorP!$B$1:$B$6230,0)),"",INDIRECT("'SorP'!$A$"&amp;MATCH($J444,SorP!$B$1:$B$6230,0))))</f>
        <v/>
      </c>
      <c r="U444" s="241"/>
      <c r="V444" s="275" t="e">
        <f>IF(C444="",NA(),MATCH($B444&amp;$C444,'Smelter Look-up'!$J:$J,0))</f>
        <v>#N/A</v>
      </c>
      <c r="W444" s="276"/>
      <c r="X444" s="276">
        <f t="shared" ca="1" si="61"/>
        <v>0</v>
      </c>
      <c r="Y444" s="276"/>
      <c r="Z444" s="276"/>
      <c r="AB444" s="278" t="str">
        <f t="shared" si="62"/>
        <v/>
      </c>
    </row>
    <row r="445" spans="1:28" s="277" customFormat="1" ht="20.25">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60"/>
        <v/>
      </c>
      <c r="T445" s="225" t="str">
        <f ca="1">IF(B445="","",IF(ISERROR(MATCH($J445,SorP!$B$1:$B$6230,0)),"",INDIRECT("'SorP'!$A$"&amp;MATCH($J445,SorP!$B$1:$B$6230,0))))</f>
        <v/>
      </c>
      <c r="U445" s="241"/>
      <c r="V445" s="275" t="e">
        <f>IF(C445="",NA(),MATCH($B445&amp;$C445,'Smelter Look-up'!$J:$J,0))</f>
        <v>#N/A</v>
      </c>
      <c r="W445" s="276"/>
      <c r="X445" s="276">
        <f t="shared" ca="1" si="61"/>
        <v>0</v>
      </c>
      <c r="Y445" s="276"/>
      <c r="Z445" s="276"/>
      <c r="AB445" s="278" t="str">
        <f t="shared" si="62"/>
        <v/>
      </c>
    </row>
    <row r="446" spans="1:28" s="277" customFormat="1" ht="20.25">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60"/>
        <v/>
      </c>
      <c r="T446" s="225" t="str">
        <f ca="1">IF(B446="","",IF(ISERROR(MATCH($J446,SorP!$B$1:$B$6230,0)),"",INDIRECT("'SorP'!$A$"&amp;MATCH($J446,SorP!$B$1:$B$6230,0))))</f>
        <v/>
      </c>
      <c r="U446" s="241"/>
      <c r="V446" s="275" t="e">
        <f>IF(C446="",NA(),MATCH($B446&amp;$C446,'Smelter Look-up'!$J:$J,0))</f>
        <v>#N/A</v>
      </c>
      <c r="W446" s="276"/>
      <c r="X446" s="276">
        <f t="shared" ca="1" si="61"/>
        <v>0</v>
      </c>
      <c r="Y446" s="276"/>
      <c r="Z446" s="276"/>
      <c r="AB446" s="278" t="str">
        <f t="shared" si="62"/>
        <v/>
      </c>
    </row>
    <row r="447" spans="1:28" s="277" customFormat="1" ht="20.25">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60"/>
        <v/>
      </c>
      <c r="T447" s="225" t="str">
        <f ca="1">IF(B447="","",IF(ISERROR(MATCH($J447,SorP!$B$1:$B$6230,0)),"",INDIRECT("'SorP'!$A$"&amp;MATCH($J447,SorP!$B$1:$B$6230,0))))</f>
        <v/>
      </c>
      <c r="U447" s="241"/>
      <c r="V447" s="275" t="e">
        <f>IF(C447="",NA(),MATCH($B447&amp;$C447,'Smelter Look-up'!$J:$J,0))</f>
        <v>#N/A</v>
      </c>
      <c r="W447" s="276"/>
      <c r="X447" s="276">
        <f t="shared" ca="1" si="61"/>
        <v>0</v>
      </c>
      <c r="Y447" s="276"/>
      <c r="Z447" s="276"/>
      <c r="AB447" s="278" t="str">
        <f t="shared" si="62"/>
        <v/>
      </c>
    </row>
    <row r="448" spans="1:28" s="277" customFormat="1" ht="20.25">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60"/>
        <v/>
      </c>
      <c r="T448" s="225" t="str">
        <f ca="1">IF(B448="","",IF(ISERROR(MATCH($J448,SorP!$B$1:$B$6230,0)),"",INDIRECT("'SorP'!$A$"&amp;MATCH($J448,SorP!$B$1:$B$6230,0))))</f>
        <v/>
      </c>
      <c r="U448" s="241"/>
      <c r="V448" s="275" t="e">
        <f>IF(C448="",NA(),MATCH($B448&amp;$C448,'Smelter Look-up'!$J:$J,0))</f>
        <v>#N/A</v>
      </c>
      <c r="W448" s="276"/>
      <c r="X448" s="276">
        <f t="shared" ca="1" si="61"/>
        <v>0</v>
      </c>
      <c r="Y448" s="276"/>
      <c r="Z448" s="276"/>
      <c r="AB448" s="278" t="str">
        <f t="shared" si="62"/>
        <v/>
      </c>
    </row>
    <row r="449" spans="1:28" s="277" customFormat="1" ht="20.25">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60"/>
        <v/>
      </c>
      <c r="T449" s="225" t="str">
        <f ca="1">IF(B449="","",IF(ISERROR(MATCH($J449,SorP!$B$1:$B$6230,0)),"",INDIRECT("'SorP'!$A$"&amp;MATCH($J449,SorP!$B$1:$B$6230,0))))</f>
        <v/>
      </c>
      <c r="U449" s="241"/>
      <c r="V449" s="275" t="e">
        <f>IF(C449="",NA(),MATCH($B449&amp;$C449,'Smelter Look-up'!$J:$J,0))</f>
        <v>#N/A</v>
      </c>
      <c r="W449" s="276"/>
      <c r="X449" s="276">
        <f t="shared" ca="1" si="61"/>
        <v>0</v>
      </c>
      <c r="Y449" s="276"/>
      <c r="Z449" s="276"/>
      <c r="AB449" s="278" t="str">
        <f t="shared" si="62"/>
        <v/>
      </c>
    </row>
    <row r="450" spans="1:28" s="277" customFormat="1" ht="20.25">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60"/>
        <v/>
      </c>
      <c r="T450" s="225" t="str">
        <f ca="1">IF(B450="","",IF(ISERROR(MATCH($J450,SorP!$B$1:$B$6230,0)),"",INDIRECT("'SorP'!$A$"&amp;MATCH($J450,SorP!$B$1:$B$6230,0))))</f>
        <v/>
      </c>
      <c r="U450" s="241"/>
      <c r="V450" s="275" t="e">
        <f>IF(C450="",NA(),MATCH($B450&amp;$C450,'Smelter Look-up'!$J:$J,0))</f>
        <v>#N/A</v>
      </c>
      <c r="W450" s="276"/>
      <c r="X450" s="276">
        <f t="shared" ca="1" si="61"/>
        <v>0</v>
      </c>
      <c r="Y450" s="276"/>
      <c r="Z450" s="276"/>
      <c r="AB450" s="278" t="str">
        <f t="shared" si="62"/>
        <v/>
      </c>
    </row>
    <row r="451" spans="1:28" s="277" customFormat="1" ht="20.25">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60"/>
        <v/>
      </c>
      <c r="T451" s="225" t="str">
        <f ca="1">IF(B451="","",IF(ISERROR(MATCH($J451,SorP!$B$1:$B$6230,0)),"",INDIRECT("'SorP'!$A$"&amp;MATCH($J451,SorP!$B$1:$B$6230,0))))</f>
        <v/>
      </c>
      <c r="U451" s="241"/>
      <c r="V451" s="275" t="e">
        <f>IF(C451="",NA(),MATCH($B451&amp;$C451,'Smelter Look-up'!$J:$J,0))</f>
        <v>#N/A</v>
      </c>
      <c r="W451" s="276"/>
      <c r="X451" s="276">
        <f t="shared" ca="1" si="61"/>
        <v>0</v>
      </c>
      <c r="Y451" s="276"/>
      <c r="Z451" s="276"/>
      <c r="AB451" s="278" t="str">
        <f t="shared" si="62"/>
        <v/>
      </c>
    </row>
    <row r="452" spans="1:28" s="277" customFormat="1" ht="20.25">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ca="1" si="60"/>
        <v/>
      </c>
      <c r="T452" s="225" t="str">
        <f ca="1">IF(B452="","",IF(ISERROR(MATCH($J452,SorP!$B$1:$B$6230,0)),"",INDIRECT("'SorP'!$A$"&amp;MATCH($J452,SorP!$B$1:$B$6230,0))))</f>
        <v/>
      </c>
      <c r="U452" s="241"/>
      <c r="V452" s="275" t="e">
        <f>IF(C452="",NA(),MATCH($B452&amp;$C452,'Smelter Look-up'!$J:$J,0))</f>
        <v>#N/A</v>
      </c>
      <c r="W452" s="276"/>
      <c r="X452" s="276">
        <f t="shared" ca="1" si="61"/>
        <v>0</v>
      </c>
      <c r="Y452" s="276"/>
      <c r="Z452" s="276"/>
      <c r="AB452" s="278" t="str">
        <f t="shared" si="62"/>
        <v/>
      </c>
    </row>
    <row r="453" spans="1:28" s="277" customFormat="1" ht="20.25">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ref="S453" ca="1" si="63">IF(B453="","",IF(ISERROR(MATCH($E453,CL,0)),"Unknown",INDIRECT("'C'!$A$"&amp;MATCH($E453,CL,0)+1)))</f>
        <v/>
      </c>
      <c r="T453" s="225" t="str">
        <f ca="1">IF(B453="","",IF(ISERROR(MATCH($J453,SorP!$B$1:$B$6230,0)),"",INDIRECT("'SorP'!$A$"&amp;MATCH($J453,SorP!$B$1:$B$6230,0))))</f>
        <v/>
      </c>
      <c r="U453" s="241"/>
      <c r="V453" s="275" t="e">
        <f>IF(C453="",NA(),MATCH($B453&amp;$C453,'Smelter Look-up'!$J:$J,0))</f>
        <v>#N/A</v>
      </c>
      <c r="W453" s="276"/>
      <c r="X453" s="276">
        <f t="shared" ref="X453" ca="1" si="64">IF(AND(C453="Smelter not listed",OR(LEN(D453)=0,LEN(E453)=0)),1,0)</f>
        <v>0</v>
      </c>
      <c r="Y453" s="276"/>
      <c r="Z453" s="276"/>
      <c r="AB453" s="278" t="str">
        <f t="shared" ref="AB453" si="65">B453&amp;C453</f>
        <v/>
      </c>
    </row>
    <row r="454" spans="1:28" s="277" customFormat="1" ht="20.25">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ref="S454:S485" ca="1" si="66">IF(B454="","",IF(ISERROR(MATCH($E454,CL,0)),"Unknown",INDIRECT("'C'!$A$"&amp;MATCH($E454,CL,0)+1)))</f>
        <v/>
      </c>
      <c r="T454" s="225" t="str">
        <f ca="1">IF(B454="","",IF(ISERROR(MATCH($J454,SorP!$B$1:$B$6230,0)),"",INDIRECT("'SorP'!$A$"&amp;MATCH($J454,SorP!$B$1:$B$6230,0))))</f>
        <v/>
      </c>
      <c r="U454" s="241"/>
      <c r="V454" s="275" t="e">
        <f>IF(C454="",NA(),MATCH($B454&amp;$C454,'Smelter Look-up'!$J:$J,0))</f>
        <v>#N/A</v>
      </c>
      <c r="W454" s="276"/>
      <c r="X454" s="276">
        <f t="shared" ref="X454:X485" ca="1" si="67">IF(AND(C454="Smelter not listed",OR(LEN(D454)=0,LEN(E454)=0)),1,0)</f>
        <v>0</v>
      </c>
      <c r="Y454" s="276"/>
      <c r="Z454" s="276"/>
      <c r="AB454" s="278" t="str">
        <f t="shared" ref="AB454:AB485" si="68">B454&amp;C454</f>
        <v/>
      </c>
    </row>
    <row r="455" spans="1:28" s="277" customFormat="1" ht="20.25">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66"/>
        <v/>
      </c>
      <c r="T455" s="225" t="str">
        <f ca="1">IF(B455="","",IF(ISERROR(MATCH($J455,SorP!$B$1:$B$6230,0)),"",INDIRECT("'SorP'!$A$"&amp;MATCH($J455,SorP!$B$1:$B$6230,0))))</f>
        <v/>
      </c>
      <c r="U455" s="241"/>
      <c r="V455" s="275" t="e">
        <f>IF(C455="",NA(),MATCH($B455&amp;$C455,'Smelter Look-up'!$J:$J,0))</f>
        <v>#N/A</v>
      </c>
      <c r="W455" s="276"/>
      <c r="X455" s="276">
        <f t="shared" ca="1" si="67"/>
        <v>0</v>
      </c>
      <c r="Y455" s="276"/>
      <c r="Z455" s="276"/>
      <c r="AB455" s="278" t="str">
        <f t="shared" si="68"/>
        <v/>
      </c>
    </row>
    <row r="456" spans="1:28" s="277" customFormat="1" ht="20.25">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66"/>
        <v/>
      </c>
      <c r="T456" s="225" t="str">
        <f ca="1">IF(B456="","",IF(ISERROR(MATCH($J456,SorP!$B$1:$B$6230,0)),"",INDIRECT("'SorP'!$A$"&amp;MATCH($J456,SorP!$B$1:$B$6230,0))))</f>
        <v/>
      </c>
      <c r="U456" s="241"/>
      <c r="V456" s="275" t="e">
        <f>IF(C456="",NA(),MATCH($B456&amp;$C456,'Smelter Look-up'!$J:$J,0))</f>
        <v>#N/A</v>
      </c>
      <c r="W456" s="276"/>
      <c r="X456" s="276">
        <f t="shared" ca="1" si="67"/>
        <v>0</v>
      </c>
      <c r="Y456" s="276"/>
      <c r="Z456" s="276"/>
      <c r="AB456" s="278" t="str">
        <f t="shared" si="68"/>
        <v/>
      </c>
    </row>
    <row r="457" spans="1:28" s="277" customFormat="1" ht="20.25">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66"/>
        <v/>
      </c>
      <c r="T457" s="225" t="str">
        <f ca="1">IF(B457="","",IF(ISERROR(MATCH($J457,SorP!$B$1:$B$6230,0)),"",INDIRECT("'SorP'!$A$"&amp;MATCH($J457,SorP!$B$1:$B$6230,0))))</f>
        <v/>
      </c>
      <c r="U457" s="241"/>
      <c r="V457" s="275" t="e">
        <f>IF(C457="",NA(),MATCH($B457&amp;$C457,'Smelter Look-up'!$J:$J,0))</f>
        <v>#N/A</v>
      </c>
      <c r="W457" s="276"/>
      <c r="X457" s="276">
        <f t="shared" ca="1" si="67"/>
        <v>0</v>
      </c>
      <c r="Y457" s="276"/>
      <c r="Z457" s="276"/>
      <c r="AB457" s="278" t="str">
        <f t="shared" si="68"/>
        <v/>
      </c>
    </row>
    <row r="458" spans="1:28" s="277" customFormat="1" ht="20.25">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66"/>
        <v/>
      </c>
      <c r="T458" s="225" t="str">
        <f ca="1">IF(B458="","",IF(ISERROR(MATCH($J458,SorP!$B$1:$B$6230,0)),"",INDIRECT("'SorP'!$A$"&amp;MATCH($J458,SorP!$B$1:$B$6230,0))))</f>
        <v/>
      </c>
      <c r="U458" s="241"/>
      <c r="V458" s="275" t="e">
        <f>IF(C458="",NA(),MATCH($B458&amp;$C458,'Smelter Look-up'!$J:$J,0))</f>
        <v>#N/A</v>
      </c>
      <c r="W458" s="276"/>
      <c r="X458" s="276">
        <f t="shared" ca="1" si="67"/>
        <v>0</v>
      </c>
      <c r="Y458" s="276"/>
      <c r="Z458" s="276"/>
      <c r="AB458" s="278" t="str">
        <f t="shared" si="68"/>
        <v/>
      </c>
    </row>
    <row r="459" spans="1:28" s="277" customFormat="1" ht="20.25">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66"/>
        <v/>
      </c>
      <c r="T459" s="225" t="str">
        <f ca="1">IF(B459="","",IF(ISERROR(MATCH($J459,SorP!$B$1:$B$6230,0)),"",INDIRECT("'SorP'!$A$"&amp;MATCH($J459,SorP!$B$1:$B$6230,0))))</f>
        <v/>
      </c>
      <c r="U459" s="241"/>
      <c r="V459" s="275" t="e">
        <f>IF(C459="",NA(),MATCH($B459&amp;$C459,'Smelter Look-up'!$J:$J,0))</f>
        <v>#N/A</v>
      </c>
      <c r="W459" s="276"/>
      <c r="X459" s="276">
        <f t="shared" ca="1" si="67"/>
        <v>0</v>
      </c>
      <c r="Y459" s="276"/>
      <c r="Z459" s="276"/>
      <c r="AB459" s="278" t="str">
        <f t="shared" si="68"/>
        <v/>
      </c>
    </row>
    <row r="460" spans="1:28" s="277" customFormat="1" ht="20.25">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66"/>
        <v/>
      </c>
      <c r="T460" s="225" t="str">
        <f ca="1">IF(B460="","",IF(ISERROR(MATCH($J460,SorP!$B$1:$B$6230,0)),"",INDIRECT("'SorP'!$A$"&amp;MATCH($J460,SorP!$B$1:$B$6230,0))))</f>
        <v/>
      </c>
      <c r="U460" s="241"/>
      <c r="V460" s="275" t="e">
        <f>IF(C460="",NA(),MATCH($B460&amp;$C460,'Smelter Look-up'!$J:$J,0))</f>
        <v>#N/A</v>
      </c>
      <c r="W460" s="276"/>
      <c r="X460" s="276">
        <f t="shared" ca="1" si="67"/>
        <v>0</v>
      </c>
      <c r="Y460" s="276"/>
      <c r="Z460" s="276"/>
      <c r="AB460" s="278" t="str">
        <f t="shared" si="68"/>
        <v/>
      </c>
    </row>
    <row r="461" spans="1:28" s="277" customFormat="1" ht="20.25">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66"/>
        <v/>
      </c>
      <c r="T461" s="225" t="str">
        <f ca="1">IF(B461="","",IF(ISERROR(MATCH($J461,SorP!$B$1:$B$6230,0)),"",INDIRECT("'SorP'!$A$"&amp;MATCH($J461,SorP!$B$1:$B$6230,0))))</f>
        <v/>
      </c>
      <c r="U461" s="241"/>
      <c r="V461" s="275" t="e">
        <f>IF(C461="",NA(),MATCH($B461&amp;$C461,'Smelter Look-up'!$J:$J,0))</f>
        <v>#N/A</v>
      </c>
      <c r="W461" s="276"/>
      <c r="X461" s="276">
        <f t="shared" ca="1" si="67"/>
        <v>0</v>
      </c>
      <c r="Y461" s="276"/>
      <c r="Z461" s="276"/>
      <c r="AB461" s="278" t="str">
        <f t="shared" si="68"/>
        <v/>
      </c>
    </row>
    <row r="462" spans="1:28" s="277" customFormat="1" ht="20.25">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66"/>
        <v/>
      </c>
      <c r="T462" s="225" t="str">
        <f ca="1">IF(B462="","",IF(ISERROR(MATCH($J462,SorP!$B$1:$B$6230,0)),"",INDIRECT("'SorP'!$A$"&amp;MATCH($J462,SorP!$B$1:$B$6230,0))))</f>
        <v/>
      </c>
      <c r="U462" s="241"/>
      <c r="V462" s="275" t="e">
        <f>IF(C462="",NA(),MATCH($B462&amp;$C462,'Smelter Look-up'!$J:$J,0))</f>
        <v>#N/A</v>
      </c>
      <c r="W462" s="276"/>
      <c r="X462" s="276">
        <f t="shared" ca="1" si="67"/>
        <v>0</v>
      </c>
      <c r="Y462" s="276"/>
      <c r="Z462" s="276"/>
      <c r="AB462" s="278" t="str">
        <f t="shared" si="68"/>
        <v/>
      </c>
    </row>
    <row r="463" spans="1:28" s="277" customFormat="1" ht="20.25">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66"/>
        <v/>
      </c>
      <c r="T463" s="225" t="str">
        <f ca="1">IF(B463="","",IF(ISERROR(MATCH($J463,SorP!$B$1:$B$6230,0)),"",INDIRECT("'SorP'!$A$"&amp;MATCH($J463,SorP!$B$1:$B$6230,0))))</f>
        <v/>
      </c>
      <c r="U463" s="241"/>
      <c r="V463" s="275" t="e">
        <f>IF(C463="",NA(),MATCH($B463&amp;$C463,'Smelter Look-up'!$J:$J,0))</f>
        <v>#N/A</v>
      </c>
      <c r="W463" s="276"/>
      <c r="X463" s="276">
        <f t="shared" ca="1" si="67"/>
        <v>0</v>
      </c>
      <c r="Y463" s="276"/>
      <c r="Z463" s="276"/>
      <c r="AB463" s="278" t="str">
        <f t="shared" si="68"/>
        <v/>
      </c>
    </row>
    <row r="464" spans="1:28" s="277" customFormat="1" ht="20.25">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66"/>
        <v/>
      </c>
      <c r="T464" s="225" t="str">
        <f ca="1">IF(B464="","",IF(ISERROR(MATCH($J464,SorP!$B$1:$B$6230,0)),"",INDIRECT("'SorP'!$A$"&amp;MATCH($J464,SorP!$B$1:$B$6230,0))))</f>
        <v/>
      </c>
      <c r="U464" s="241"/>
      <c r="V464" s="275" t="e">
        <f>IF(C464="",NA(),MATCH($B464&amp;$C464,'Smelter Look-up'!$J:$J,0))</f>
        <v>#N/A</v>
      </c>
      <c r="W464" s="276"/>
      <c r="X464" s="276">
        <f t="shared" ca="1" si="67"/>
        <v>0</v>
      </c>
      <c r="Y464" s="276"/>
      <c r="Z464" s="276"/>
      <c r="AB464" s="278" t="str">
        <f t="shared" si="68"/>
        <v/>
      </c>
    </row>
    <row r="465" spans="1:28" s="277" customFormat="1" ht="20.25">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66"/>
        <v/>
      </c>
      <c r="T465" s="225" t="str">
        <f ca="1">IF(B465="","",IF(ISERROR(MATCH($J465,SorP!$B$1:$B$6230,0)),"",INDIRECT("'SorP'!$A$"&amp;MATCH($J465,SorP!$B$1:$B$6230,0))))</f>
        <v/>
      </c>
      <c r="U465" s="241"/>
      <c r="V465" s="275" t="e">
        <f>IF(C465="",NA(),MATCH($B465&amp;$C465,'Smelter Look-up'!$J:$J,0))</f>
        <v>#N/A</v>
      </c>
      <c r="W465" s="276"/>
      <c r="X465" s="276">
        <f t="shared" ca="1" si="67"/>
        <v>0</v>
      </c>
      <c r="Y465" s="276"/>
      <c r="Z465" s="276"/>
      <c r="AB465" s="278" t="str">
        <f t="shared" si="68"/>
        <v/>
      </c>
    </row>
    <row r="466" spans="1:28" s="277" customFormat="1" ht="20.25">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66"/>
        <v/>
      </c>
      <c r="T466" s="225" t="str">
        <f ca="1">IF(B466="","",IF(ISERROR(MATCH($J466,SorP!$B$1:$B$6230,0)),"",INDIRECT("'SorP'!$A$"&amp;MATCH($J466,SorP!$B$1:$B$6230,0))))</f>
        <v/>
      </c>
      <c r="U466" s="241"/>
      <c r="V466" s="275" t="e">
        <f>IF(C466="",NA(),MATCH($B466&amp;$C466,'Smelter Look-up'!$J:$J,0))</f>
        <v>#N/A</v>
      </c>
      <c r="W466" s="276"/>
      <c r="X466" s="276">
        <f t="shared" ca="1" si="67"/>
        <v>0</v>
      </c>
      <c r="Y466" s="276"/>
      <c r="Z466" s="276"/>
      <c r="AB466" s="278" t="str">
        <f t="shared" si="68"/>
        <v/>
      </c>
    </row>
    <row r="467" spans="1:28" s="277" customFormat="1" ht="20.25">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66"/>
        <v/>
      </c>
      <c r="T467" s="225" t="str">
        <f ca="1">IF(B467="","",IF(ISERROR(MATCH($J467,SorP!$B$1:$B$6230,0)),"",INDIRECT("'SorP'!$A$"&amp;MATCH($J467,SorP!$B$1:$B$6230,0))))</f>
        <v/>
      </c>
      <c r="U467" s="241"/>
      <c r="V467" s="275" t="e">
        <f>IF(C467="",NA(),MATCH($B467&amp;$C467,'Smelter Look-up'!$J:$J,0))</f>
        <v>#N/A</v>
      </c>
      <c r="W467" s="276"/>
      <c r="X467" s="276">
        <f t="shared" ca="1" si="67"/>
        <v>0</v>
      </c>
      <c r="Y467" s="276"/>
      <c r="Z467" s="276"/>
      <c r="AB467" s="278" t="str">
        <f t="shared" si="68"/>
        <v/>
      </c>
    </row>
    <row r="468" spans="1:28" s="277" customFormat="1" ht="20.25">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66"/>
        <v/>
      </c>
      <c r="T468" s="225" t="str">
        <f ca="1">IF(B468="","",IF(ISERROR(MATCH($J468,SorP!$B$1:$B$6230,0)),"",INDIRECT("'SorP'!$A$"&amp;MATCH($J468,SorP!$B$1:$B$6230,0))))</f>
        <v/>
      </c>
      <c r="U468" s="241"/>
      <c r="V468" s="275" t="e">
        <f>IF(C468="",NA(),MATCH($B468&amp;$C468,'Smelter Look-up'!$J:$J,0))</f>
        <v>#N/A</v>
      </c>
      <c r="W468" s="276"/>
      <c r="X468" s="276">
        <f t="shared" ca="1" si="67"/>
        <v>0</v>
      </c>
      <c r="Y468" s="276"/>
      <c r="Z468" s="276"/>
      <c r="AB468" s="278" t="str">
        <f t="shared" si="68"/>
        <v/>
      </c>
    </row>
    <row r="469" spans="1:28" s="277" customFormat="1" ht="20.25">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66"/>
        <v/>
      </c>
      <c r="T469" s="225" t="str">
        <f ca="1">IF(B469="","",IF(ISERROR(MATCH($J469,SorP!$B$1:$B$6230,0)),"",INDIRECT("'SorP'!$A$"&amp;MATCH($J469,SorP!$B$1:$B$6230,0))))</f>
        <v/>
      </c>
      <c r="U469" s="241"/>
      <c r="V469" s="275" t="e">
        <f>IF(C469="",NA(),MATCH($B469&amp;$C469,'Smelter Look-up'!$J:$J,0))</f>
        <v>#N/A</v>
      </c>
      <c r="W469" s="276"/>
      <c r="X469" s="276">
        <f t="shared" ca="1" si="67"/>
        <v>0</v>
      </c>
      <c r="Y469" s="276"/>
      <c r="Z469" s="276"/>
      <c r="AB469" s="278" t="str">
        <f t="shared" si="68"/>
        <v/>
      </c>
    </row>
    <row r="470" spans="1:28" s="277" customFormat="1" ht="20.25">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66"/>
        <v/>
      </c>
      <c r="T470" s="225" t="str">
        <f ca="1">IF(B470="","",IF(ISERROR(MATCH($J470,SorP!$B$1:$B$6230,0)),"",INDIRECT("'SorP'!$A$"&amp;MATCH($J470,SorP!$B$1:$B$6230,0))))</f>
        <v/>
      </c>
      <c r="U470" s="241"/>
      <c r="V470" s="275" t="e">
        <f>IF(C470="",NA(),MATCH($B470&amp;$C470,'Smelter Look-up'!$J:$J,0))</f>
        <v>#N/A</v>
      </c>
      <c r="W470" s="276"/>
      <c r="X470" s="276">
        <f t="shared" ca="1" si="67"/>
        <v>0</v>
      </c>
      <c r="Y470" s="276"/>
      <c r="Z470" s="276"/>
      <c r="AB470" s="278" t="str">
        <f t="shared" si="68"/>
        <v/>
      </c>
    </row>
    <row r="471" spans="1:28" s="277" customFormat="1" ht="20.25">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66"/>
        <v/>
      </c>
      <c r="T471" s="225" t="str">
        <f ca="1">IF(B471="","",IF(ISERROR(MATCH($J471,SorP!$B$1:$B$6230,0)),"",INDIRECT("'SorP'!$A$"&amp;MATCH($J471,SorP!$B$1:$B$6230,0))))</f>
        <v/>
      </c>
      <c r="U471" s="241"/>
      <c r="V471" s="275" t="e">
        <f>IF(C471="",NA(),MATCH($B471&amp;$C471,'Smelter Look-up'!$J:$J,0))</f>
        <v>#N/A</v>
      </c>
      <c r="W471" s="276"/>
      <c r="X471" s="276">
        <f t="shared" ca="1" si="67"/>
        <v>0</v>
      </c>
      <c r="Y471" s="276"/>
      <c r="Z471" s="276"/>
      <c r="AB471" s="278" t="str">
        <f t="shared" si="68"/>
        <v/>
      </c>
    </row>
    <row r="472" spans="1:28" s="277" customFormat="1" ht="20.25">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66"/>
        <v/>
      </c>
      <c r="T472" s="225" t="str">
        <f ca="1">IF(B472="","",IF(ISERROR(MATCH($J472,SorP!$B$1:$B$6230,0)),"",INDIRECT("'SorP'!$A$"&amp;MATCH($J472,SorP!$B$1:$B$6230,0))))</f>
        <v/>
      </c>
      <c r="U472" s="241"/>
      <c r="V472" s="275" t="e">
        <f>IF(C472="",NA(),MATCH($B472&amp;$C472,'Smelter Look-up'!$J:$J,0))</f>
        <v>#N/A</v>
      </c>
      <c r="W472" s="276"/>
      <c r="X472" s="276">
        <f t="shared" ca="1" si="67"/>
        <v>0</v>
      </c>
      <c r="Y472" s="276"/>
      <c r="Z472" s="276"/>
      <c r="AB472" s="278" t="str">
        <f t="shared" si="68"/>
        <v/>
      </c>
    </row>
    <row r="473" spans="1:28" s="277" customFormat="1" ht="20.25">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66"/>
        <v/>
      </c>
      <c r="T473" s="225" t="str">
        <f ca="1">IF(B473="","",IF(ISERROR(MATCH($J473,SorP!$B$1:$B$6230,0)),"",INDIRECT("'SorP'!$A$"&amp;MATCH($J473,SorP!$B$1:$B$6230,0))))</f>
        <v/>
      </c>
      <c r="U473" s="241"/>
      <c r="V473" s="275" t="e">
        <f>IF(C473="",NA(),MATCH($B473&amp;$C473,'Smelter Look-up'!$J:$J,0))</f>
        <v>#N/A</v>
      </c>
      <c r="W473" s="276"/>
      <c r="X473" s="276">
        <f t="shared" ca="1" si="67"/>
        <v>0</v>
      </c>
      <c r="Y473" s="276"/>
      <c r="Z473" s="276"/>
      <c r="AB473" s="278" t="str">
        <f t="shared" si="68"/>
        <v/>
      </c>
    </row>
    <row r="474" spans="1:28" s="277" customFormat="1" ht="20.25">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ca="1" si="66"/>
        <v/>
      </c>
      <c r="T474" s="225" t="str">
        <f ca="1">IF(B474="","",IF(ISERROR(MATCH($J474,SorP!$B$1:$B$6230,0)),"",INDIRECT("'SorP'!$A$"&amp;MATCH($J474,SorP!$B$1:$B$6230,0))))</f>
        <v/>
      </c>
      <c r="U474" s="241"/>
      <c r="V474" s="275" t="e">
        <f>IF(C474="",NA(),MATCH($B474&amp;$C474,'Smelter Look-up'!$J:$J,0))</f>
        <v>#N/A</v>
      </c>
      <c r="W474" s="276"/>
      <c r="X474" s="276">
        <f t="shared" ca="1" si="67"/>
        <v>0</v>
      </c>
      <c r="Y474" s="276"/>
      <c r="Z474" s="276"/>
      <c r="AB474" s="278" t="str">
        <f t="shared" si="68"/>
        <v/>
      </c>
    </row>
    <row r="475" spans="1:28" s="277" customFormat="1" ht="20.25">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66"/>
        <v/>
      </c>
      <c r="T475" s="225" t="str">
        <f ca="1">IF(B475="","",IF(ISERROR(MATCH($J475,SorP!$B$1:$B$6230,0)),"",INDIRECT("'SorP'!$A$"&amp;MATCH($J475,SorP!$B$1:$B$6230,0))))</f>
        <v/>
      </c>
      <c r="U475" s="241"/>
      <c r="V475" s="275" t="e">
        <f>IF(C475="",NA(),MATCH($B475&amp;$C475,'Smelter Look-up'!$J:$J,0))</f>
        <v>#N/A</v>
      </c>
      <c r="W475" s="276"/>
      <c r="X475" s="276">
        <f t="shared" ca="1" si="67"/>
        <v>0</v>
      </c>
      <c r="Y475" s="276"/>
      <c r="Z475" s="276"/>
      <c r="AB475" s="278" t="str">
        <f t="shared" si="68"/>
        <v/>
      </c>
    </row>
    <row r="476" spans="1:28" s="277" customFormat="1" ht="20.25">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ca="1" si="66"/>
        <v/>
      </c>
      <c r="T476" s="225" t="str">
        <f ca="1">IF(B476="","",IF(ISERROR(MATCH($J476,SorP!$B$1:$B$6230,0)),"",INDIRECT("'SorP'!$A$"&amp;MATCH($J476,SorP!$B$1:$B$6230,0))))</f>
        <v/>
      </c>
      <c r="U476" s="241"/>
      <c r="V476" s="275" t="e">
        <f>IF(C476="",NA(),MATCH($B476&amp;$C476,'Smelter Look-up'!$J:$J,0))</f>
        <v>#N/A</v>
      </c>
      <c r="W476" s="276"/>
      <c r="X476" s="276">
        <f t="shared" ca="1" si="67"/>
        <v>0</v>
      </c>
      <c r="Y476" s="276"/>
      <c r="Z476" s="276"/>
      <c r="AB476" s="278" t="str">
        <f t="shared" si="68"/>
        <v/>
      </c>
    </row>
    <row r="477" spans="1:28" s="277" customFormat="1" ht="20.25">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66"/>
        <v/>
      </c>
      <c r="T477" s="225" t="str">
        <f ca="1">IF(B477="","",IF(ISERROR(MATCH($J477,SorP!$B$1:$B$6230,0)),"",INDIRECT("'SorP'!$A$"&amp;MATCH($J477,SorP!$B$1:$B$6230,0))))</f>
        <v/>
      </c>
      <c r="U477" s="241"/>
      <c r="V477" s="275" t="e">
        <f>IF(C477="",NA(),MATCH($B477&amp;$C477,'Smelter Look-up'!$J:$J,0))</f>
        <v>#N/A</v>
      </c>
      <c r="W477" s="276"/>
      <c r="X477" s="276">
        <f t="shared" ca="1" si="67"/>
        <v>0</v>
      </c>
      <c r="Y477" s="276"/>
      <c r="Z477" s="276"/>
      <c r="AB477" s="278" t="str">
        <f t="shared" si="68"/>
        <v/>
      </c>
    </row>
    <row r="478" spans="1:28" s="277" customFormat="1" ht="20.25">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66"/>
        <v/>
      </c>
      <c r="T478" s="225" t="str">
        <f ca="1">IF(B478="","",IF(ISERROR(MATCH($J478,SorP!$B$1:$B$6230,0)),"",INDIRECT("'SorP'!$A$"&amp;MATCH($J478,SorP!$B$1:$B$6230,0))))</f>
        <v/>
      </c>
      <c r="U478" s="241"/>
      <c r="V478" s="275" t="e">
        <f>IF(C478="",NA(),MATCH($B478&amp;$C478,'Smelter Look-up'!$J:$J,0))</f>
        <v>#N/A</v>
      </c>
      <c r="W478" s="276"/>
      <c r="X478" s="276">
        <f t="shared" ca="1" si="67"/>
        <v>0</v>
      </c>
      <c r="Y478" s="276"/>
      <c r="Z478" s="276"/>
      <c r="AB478" s="278" t="str">
        <f t="shared" si="68"/>
        <v/>
      </c>
    </row>
    <row r="479" spans="1:28" s="277" customFormat="1" ht="20.25">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66"/>
        <v/>
      </c>
      <c r="T479" s="225" t="str">
        <f ca="1">IF(B479="","",IF(ISERROR(MATCH($J479,SorP!$B$1:$B$6230,0)),"",INDIRECT("'SorP'!$A$"&amp;MATCH($J479,SorP!$B$1:$B$6230,0))))</f>
        <v/>
      </c>
      <c r="U479" s="241"/>
      <c r="V479" s="275" t="e">
        <f>IF(C479="",NA(),MATCH($B479&amp;$C479,'Smelter Look-up'!$J:$J,0))</f>
        <v>#N/A</v>
      </c>
      <c r="W479" s="276"/>
      <c r="X479" s="276">
        <f t="shared" ca="1" si="67"/>
        <v>0</v>
      </c>
      <c r="Y479" s="276"/>
      <c r="Z479" s="276"/>
      <c r="AB479" s="278" t="str">
        <f t="shared" si="68"/>
        <v/>
      </c>
    </row>
    <row r="480" spans="1:28" s="277" customFormat="1" ht="20.25">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66"/>
        <v/>
      </c>
      <c r="T480" s="225" t="str">
        <f ca="1">IF(B480="","",IF(ISERROR(MATCH($J480,SorP!$B$1:$B$6230,0)),"",INDIRECT("'SorP'!$A$"&amp;MATCH($J480,SorP!$B$1:$B$6230,0))))</f>
        <v/>
      </c>
      <c r="U480" s="241"/>
      <c r="V480" s="275" t="e">
        <f>IF(C480="",NA(),MATCH($B480&amp;$C480,'Smelter Look-up'!$J:$J,0))</f>
        <v>#N/A</v>
      </c>
      <c r="W480" s="276"/>
      <c r="X480" s="276">
        <f t="shared" ca="1" si="67"/>
        <v>0</v>
      </c>
      <c r="Y480" s="276"/>
      <c r="Z480" s="276"/>
      <c r="AB480" s="278" t="str">
        <f t="shared" si="68"/>
        <v/>
      </c>
    </row>
    <row r="481" spans="1:28" s="277" customFormat="1" ht="20.25">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66"/>
        <v/>
      </c>
      <c r="T481" s="225" t="str">
        <f ca="1">IF(B481="","",IF(ISERROR(MATCH($J481,SorP!$B$1:$B$6230,0)),"",INDIRECT("'SorP'!$A$"&amp;MATCH($J481,SorP!$B$1:$B$6230,0))))</f>
        <v/>
      </c>
      <c r="U481" s="241"/>
      <c r="V481" s="275" t="e">
        <f>IF(C481="",NA(),MATCH($B481&amp;$C481,'Smelter Look-up'!$J:$J,0))</f>
        <v>#N/A</v>
      </c>
      <c r="W481" s="276"/>
      <c r="X481" s="276">
        <f t="shared" ca="1" si="67"/>
        <v>0</v>
      </c>
      <c r="Y481" s="276"/>
      <c r="Z481" s="276"/>
      <c r="AB481" s="278" t="str">
        <f t="shared" si="68"/>
        <v/>
      </c>
    </row>
    <row r="482" spans="1:28" s="277" customFormat="1" ht="20.25">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66"/>
        <v/>
      </c>
      <c r="T482" s="225" t="str">
        <f ca="1">IF(B482="","",IF(ISERROR(MATCH($J482,SorP!$B$1:$B$6230,0)),"",INDIRECT("'SorP'!$A$"&amp;MATCH($J482,SorP!$B$1:$B$6230,0))))</f>
        <v/>
      </c>
      <c r="U482" s="241"/>
      <c r="V482" s="275" t="e">
        <f>IF(C482="",NA(),MATCH($B482&amp;$C482,'Smelter Look-up'!$J:$J,0))</f>
        <v>#N/A</v>
      </c>
      <c r="W482" s="276"/>
      <c r="X482" s="276">
        <f t="shared" ca="1" si="67"/>
        <v>0</v>
      </c>
      <c r="Y482" s="276"/>
      <c r="Z482" s="276"/>
      <c r="AB482" s="278" t="str">
        <f t="shared" si="68"/>
        <v/>
      </c>
    </row>
    <row r="483" spans="1:28" s="277" customFormat="1" ht="20.25">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66"/>
        <v/>
      </c>
      <c r="T483" s="225" t="str">
        <f ca="1">IF(B483="","",IF(ISERROR(MATCH($J483,SorP!$B$1:$B$6230,0)),"",INDIRECT("'SorP'!$A$"&amp;MATCH($J483,SorP!$B$1:$B$6230,0))))</f>
        <v/>
      </c>
      <c r="U483" s="241"/>
      <c r="V483" s="275" t="e">
        <f>IF(C483="",NA(),MATCH($B483&amp;$C483,'Smelter Look-up'!$J:$J,0))</f>
        <v>#N/A</v>
      </c>
      <c r="W483" s="276"/>
      <c r="X483" s="276">
        <f t="shared" ca="1" si="67"/>
        <v>0</v>
      </c>
      <c r="Y483" s="276"/>
      <c r="Z483" s="276"/>
      <c r="AB483" s="278" t="str">
        <f t="shared" si="68"/>
        <v/>
      </c>
    </row>
    <row r="484" spans="1:28" s="277" customFormat="1" ht="20.25">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66"/>
        <v/>
      </c>
      <c r="T484" s="225" t="str">
        <f ca="1">IF(B484="","",IF(ISERROR(MATCH($J484,SorP!$B$1:$B$6230,0)),"",INDIRECT("'SorP'!$A$"&amp;MATCH($J484,SorP!$B$1:$B$6230,0))))</f>
        <v/>
      </c>
      <c r="U484" s="241"/>
      <c r="V484" s="275" t="e">
        <f>IF(C484="",NA(),MATCH($B484&amp;$C484,'Smelter Look-up'!$J:$J,0))</f>
        <v>#N/A</v>
      </c>
      <c r="W484" s="276"/>
      <c r="X484" s="276">
        <f t="shared" ca="1" si="67"/>
        <v>0</v>
      </c>
      <c r="Y484" s="276"/>
      <c r="Z484" s="276"/>
      <c r="AB484" s="278" t="str">
        <f t="shared" si="68"/>
        <v/>
      </c>
    </row>
    <row r="485" spans="1:28" s="277" customFormat="1" ht="20.25">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ca="1" si="66"/>
        <v/>
      </c>
      <c r="T485" s="225" t="str">
        <f ca="1">IF(B485="","",IF(ISERROR(MATCH($J485,SorP!$B$1:$B$6230,0)),"",INDIRECT("'SorP'!$A$"&amp;MATCH($J485,SorP!$B$1:$B$6230,0))))</f>
        <v/>
      </c>
      <c r="U485" s="241"/>
      <c r="V485" s="275" t="e">
        <f>IF(C485="",NA(),MATCH($B485&amp;$C485,'Smelter Look-up'!$J:$J,0))</f>
        <v>#N/A</v>
      </c>
      <c r="W485" s="276"/>
      <c r="X485" s="276">
        <f t="shared" ca="1" si="67"/>
        <v>0</v>
      </c>
      <c r="Y485" s="276"/>
      <c r="Z485" s="276"/>
      <c r="AB485" s="278" t="str">
        <f t="shared" si="68"/>
        <v/>
      </c>
    </row>
    <row r="486" spans="1:28" s="277" customFormat="1" ht="20.25">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ref="S486:S516" ca="1" si="69">IF(B486="","",IF(ISERROR(MATCH($E486,CL,0)),"Unknown",INDIRECT("'C'!$A$"&amp;MATCH($E486,CL,0)+1)))</f>
        <v/>
      </c>
      <c r="T486" s="225" t="str">
        <f ca="1">IF(B486="","",IF(ISERROR(MATCH($J486,SorP!$B$1:$B$6230,0)),"",INDIRECT("'SorP'!$A$"&amp;MATCH($J486,SorP!$B$1:$B$6230,0))))</f>
        <v/>
      </c>
      <c r="U486" s="241"/>
      <c r="V486" s="275" t="e">
        <f>IF(C486="",NA(),MATCH($B486&amp;$C486,'Smelter Look-up'!$J:$J,0))</f>
        <v>#N/A</v>
      </c>
      <c r="W486" s="276"/>
      <c r="X486" s="276">
        <f t="shared" ref="X486:X516" ca="1" si="70">IF(AND(C486="Smelter not listed",OR(LEN(D486)=0,LEN(E486)=0)),1,0)</f>
        <v>0</v>
      </c>
      <c r="Y486" s="276"/>
      <c r="Z486" s="276"/>
      <c r="AB486" s="278" t="str">
        <f t="shared" ref="AB486:AB516" si="71">B486&amp;C486</f>
        <v/>
      </c>
    </row>
    <row r="487" spans="1:28" s="277" customFormat="1" ht="20.25">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69"/>
        <v/>
      </c>
      <c r="T487" s="225" t="str">
        <f ca="1">IF(B487="","",IF(ISERROR(MATCH($J487,SorP!$B$1:$B$6230,0)),"",INDIRECT("'SorP'!$A$"&amp;MATCH($J487,SorP!$B$1:$B$6230,0))))</f>
        <v/>
      </c>
      <c r="U487" s="241"/>
      <c r="V487" s="275" t="e">
        <f>IF(C487="",NA(),MATCH($B487&amp;$C487,'Smelter Look-up'!$J:$J,0))</f>
        <v>#N/A</v>
      </c>
      <c r="W487" s="276"/>
      <c r="X487" s="276">
        <f t="shared" ca="1" si="70"/>
        <v>0</v>
      </c>
      <c r="Y487" s="276"/>
      <c r="Z487" s="276"/>
      <c r="AB487" s="278" t="str">
        <f t="shared" si="71"/>
        <v/>
      </c>
    </row>
    <row r="488" spans="1:28" s="277" customFormat="1" ht="20.25">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69"/>
        <v/>
      </c>
      <c r="T488" s="225" t="str">
        <f ca="1">IF(B488="","",IF(ISERROR(MATCH($J488,SorP!$B$1:$B$6230,0)),"",INDIRECT("'SorP'!$A$"&amp;MATCH($J488,SorP!$B$1:$B$6230,0))))</f>
        <v/>
      </c>
      <c r="U488" s="241"/>
      <c r="V488" s="275" t="e">
        <f>IF(C488="",NA(),MATCH($B488&amp;$C488,'Smelter Look-up'!$J:$J,0))</f>
        <v>#N/A</v>
      </c>
      <c r="W488" s="276"/>
      <c r="X488" s="276">
        <f t="shared" ca="1" si="70"/>
        <v>0</v>
      </c>
      <c r="Y488" s="276"/>
      <c r="Z488" s="276"/>
      <c r="AB488" s="278" t="str">
        <f t="shared" si="71"/>
        <v/>
      </c>
    </row>
    <row r="489" spans="1:28" s="277" customFormat="1" ht="20.25">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69"/>
        <v/>
      </c>
      <c r="T489" s="225" t="str">
        <f ca="1">IF(B489="","",IF(ISERROR(MATCH($J489,SorP!$B$1:$B$6230,0)),"",INDIRECT("'SorP'!$A$"&amp;MATCH($J489,SorP!$B$1:$B$6230,0))))</f>
        <v/>
      </c>
      <c r="U489" s="241"/>
      <c r="V489" s="275" t="e">
        <f>IF(C489="",NA(),MATCH($B489&amp;$C489,'Smelter Look-up'!$J:$J,0))</f>
        <v>#N/A</v>
      </c>
      <c r="W489" s="276"/>
      <c r="X489" s="276">
        <f t="shared" ca="1" si="70"/>
        <v>0</v>
      </c>
      <c r="Y489" s="276"/>
      <c r="Z489" s="276"/>
      <c r="AB489" s="278" t="str">
        <f t="shared" si="71"/>
        <v/>
      </c>
    </row>
    <row r="490" spans="1:28" s="277" customFormat="1" ht="20.25">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69"/>
        <v/>
      </c>
      <c r="T490" s="225" t="str">
        <f ca="1">IF(B490="","",IF(ISERROR(MATCH($J490,SorP!$B$1:$B$6230,0)),"",INDIRECT("'SorP'!$A$"&amp;MATCH($J490,SorP!$B$1:$B$6230,0))))</f>
        <v/>
      </c>
      <c r="U490" s="241"/>
      <c r="V490" s="275" t="e">
        <f>IF(C490="",NA(),MATCH($B490&amp;$C490,'Smelter Look-up'!$J:$J,0))</f>
        <v>#N/A</v>
      </c>
      <c r="W490" s="276"/>
      <c r="X490" s="276">
        <f t="shared" ca="1" si="70"/>
        <v>0</v>
      </c>
      <c r="Y490" s="276"/>
      <c r="Z490" s="276"/>
      <c r="AB490" s="278" t="str">
        <f t="shared" si="71"/>
        <v/>
      </c>
    </row>
    <row r="491" spans="1:28" s="277" customFormat="1" ht="20.25">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69"/>
        <v/>
      </c>
      <c r="T491" s="225" t="str">
        <f ca="1">IF(B491="","",IF(ISERROR(MATCH($J491,SorP!$B$1:$B$6230,0)),"",INDIRECT("'SorP'!$A$"&amp;MATCH($J491,SorP!$B$1:$B$6230,0))))</f>
        <v/>
      </c>
      <c r="U491" s="241"/>
      <c r="V491" s="275" t="e">
        <f>IF(C491="",NA(),MATCH($B491&amp;$C491,'Smelter Look-up'!$J:$J,0))</f>
        <v>#N/A</v>
      </c>
      <c r="W491" s="276"/>
      <c r="X491" s="276">
        <f t="shared" ca="1" si="70"/>
        <v>0</v>
      </c>
      <c r="Y491" s="276"/>
      <c r="Z491" s="276"/>
      <c r="AB491" s="278" t="str">
        <f t="shared" si="71"/>
        <v/>
      </c>
    </row>
    <row r="492" spans="1:28" s="277" customFormat="1" ht="20.25">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69"/>
        <v/>
      </c>
      <c r="T492" s="225" t="str">
        <f ca="1">IF(B492="","",IF(ISERROR(MATCH($J492,SorP!$B$1:$B$6230,0)),"",INDIRECT("'SorP'!$A$"&amp;MATCH($J492,SorP!$B$1:$B$6230,0))))</f>
        <v/>
      </c>
      <c r="U492" s="241"/>
      <c r="V492" s="275" t="e">
        <f>IF(C492="",NA(),MATCH($B492&amp;$C492,'Smelter Look-up'!$J:$J,0))</f>
        <v>#N/A</v>
      </c>
      <c r="W492" s="276"/>
      <c r="X492" s="276">
        <f t="shared" ca="1" si="70"/>
        <v>0</v>
      </c>
      <c r="Y492" s="276"/>
      <c r="Z492" s="276"/>
      <c r="AB492" s="278" t="str">
        <f t="shared" si="71"/>
        <v/>
      </c>
    </row>
    <row r="493" spans="1:28" s="277" customFormat="1" ht="20.25">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69"/>
        <v/>
      </c>
      <c r="T493" s="225" t="str">
        <f ca="1">IF(B493="","",IF(ISERROR(MATCH($J493,SorP!$B$1:$B$6230,0)),"",INDIRECT("'SorP'!$A$"&amp;MATCH($J493,SorP!$B$1:$B$6230,0))))</f>
        <v/>
      </c>
      <c r="U493" s="241"/>
      <c r="V493" s="275" t="e">
        <f>IF(C493="",NA(),MATCH($B493&amp;$C493,'Smelter Look-up'!$J:$J,0))</f>
        <v>#N/A</v>
      </c>
      <c r="W493" s="276"/>
      <c r="X493" s="276">
        <f t="shared" ca="1" si="70"/>
        <v>0</v>
      </c>
      <c r="Y493" s="276"/>
      <c r="Z493" s="276"/>
      <c r="AB493" s="278" t="str">
        <f t="shared" si="71"/>
        <v/>
      </c>
    </row>
    <row r="494" spans="1:28" s="277" customFormat="1" ht="20.25">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69"/>
        <v/>
      </c>
      <c r="T494" s="225" t="str">
        <f ca="1">IF(B494="","",IF(ISERROR(MATCH($J494,SorP!$B$1:$B$6230,0)),"",INDIRECT("'SorP'!$A$"&amp;MATCH($J494,SorP!$B$1:$B$6230,0))))</f>
        <v/>
      </c>
      <c r="U494" s="241"/>
      <c r="V494" s="275" t="e">
        <f>IF(C494="",NA(),MATCH($B494&amp;$C494,'Smelter Look-up'!$J:$J,0))</f>
        <v>#N/A</v>
      </c>
      <c r="W494" s="276"/>
      <c r="X494" s="276">
        <f t="shared" ca="1" si="70"/>
        <v>0</v>
      </c>
      <c r="Y494" s="276"/>
      <c r="Z494" s="276"/>
      <c r="AB494" s="278" t="str">
        <f t="shared" si="71"/>
        <v/>
      </c>
    </row>
    <row r="495" spans="1:28" s="277" customFormat="1" ht="20.25">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69"/>
        <v/>
      </c>
      <c r="T495" s="225" t="str">
        <f ca="1">IF(B495="","",IF(ISERROR(MATCH($J495,SorP!$B$1:$B$6230,0)),"",INDIRECT("'SorP'!$A$"&amp;MATCH($J495,SorP!$B$1:$B$6230,0))))</f>
        <v/>
      </c>
      <c r="U495" s="241"/>
      <c r="V495" s="275" t="e">
        <f>IF(C495="",NA(),MATCH($B495&amp;$C495,'Smelter Look-up'!$J:$J,0))</f>
        <v>#N/A</v>
      </c>
      <c r="W495" s="276"/>
      <c r="X495" s="276">
        <f t="shared" ca="1" si="70"/>
        <v>0</v>
      </c>
      <c r="Y495" s="276"/>
      <c r="Z495" s="276"/>
      <c r="AB495" s="278" t="str">
        <f t="shared" si="71"/>
        <v/>
      </c>
    </row>
    <row r="496" spans="1:28" s="277" customFormat="1" ht="20.25">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69"/>
        <v/>
      </c>
      <c r="T496" s="225" t="str">
        <f ca="1">IF(B496="","",IF(ISERROR(MATCH($J496,SorP!$B$1:$B$6230,0)),"",INDIRECT("'SorP'!$A$"&amp;MATCH($J496,SorP!$B$1:$B$6230,0))))</f>
        <v/>
      </c>
      <c r="U496" s="241"/>
      <c r="V496" s="275" t="e">
        <f>IF(C496="",NA(),MATCH($B496&amp;$C496,'Smelter Look-up'!$J:$J,0))</f>
        <v>#N/A</v>
      </c>
      <c r="W496" s="276"/>
      <c r="X496" s="276">
        <f t="shared" ca="1" si="70"/>
        <v>0</v>
      </c>
      <c r="Y496" s="276"/>
      <c r="Z496" s="276"/>
      <c r="AB496" s="278" t="str">
        <f t="shared" si="71"/>
        <v/>
      </c>
    </row>
    <row r="497" spans="1:28" s="277" customFormat="1" ht="20.25">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69"/>
        <v/>
      </c>
      <c r="T497" s="225" t="str">
        <f ca="1">IF(B497="","",IF(ISERROR(MATCH($J497,SorP!$B$1:$B$6230,0)),"",INDIRECT("'SorP'!$A$"&amp;MATCH($J497,SorP!$B$1:$B$6230,0))))</f>
        <v/>
      </c>
      <c r="U497" s="241"/>
      <c r="V497" s="275" t="e">
        <f>IF(C497="",NA(),MATCH($B497&amp;$C497,'Smelter Look-up'!$J:$J,0))</f>
        <v>#N/A</v>
      </c>
      <c r="W497" s="276"/>
      <c r="X497" s="276">
        <f t="shared" ca="1" si="70"/>
        <v>0</v>
      </c>
      <c r="Y497" s="276"/>
      <c r="Z497" s="276"/>
      <c r="AB497" s="278" t="str">
        <f t="shared" si="71"/>
        <v/>
      </c>
    </row>
    <row r="498" spans="1:28" s="277" customFormat="1" ht="20.25">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69"/>
        <v/>
      </c>
      <c r="T498" s="225" t="str">
        <f ca="1">IF(B498="","",IF(ISERROR(MATCH($J498,SorP!$B$1:$B$6230,0)),"",INDIRECT("'SorP'!$A$"&amp;MATCH($J498,SorP!$B$1:$B$6230,0))))</f>
        <v/>
      </c>
      <c r="U498" s="241"/>
      <c r="V498" s="275" t="e">
        <f>IF(C498="",NA(),MATCH($B498&amp;$C498,'Smelter Look-up'!$J:$J,0))</f>
        <v>#N/A</v>
      </c>
      <c r="W498" s="276"/>
      <c r="X498" s="276">
        <f t="shared" ca="1" si="70"/>
        <v>0</v>
      </c>
      <c r="Y498" s="276"/>
      <c r="Z498" s="276"/>
      <c r="AB498" s="278" t="str">
        <f t="shared" si="71"/>
        <v/>
      </c>
    </row>
    <row r="499" spans="1:28" s="277" customFormat="1" ht="20.25">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69"/>
        <v/>
      </c>
      <c r="T499" s="225" t="str">
        <f ca="1">IF(B499="","",IF(ISERROR(MATCH($J499,SorP!$B$1:$B$6230,0)),"",INDIRECT("'SorP'!$A$"&amp;MATCH($J499,SorP!$B$1:$B$6230,0))))</f>
        <v/>
      </c>
      <c r="U499" s="241"/>
      <c r="V499" s="275" t="e">
        <f>IF(C499="",NA(),MATCH($B499&amp;$C499,'Smelter Look-up'!$J:$J,0))</f>
        <v>#N/A</v>
      </c>
      <c r="W499" s="276"/>
      <c r="X499" s="276">
        <f t="shared" ca="1" si="70"/>
        <v>0</v>
      </c>
      <c r="Y499" s="276"/>
      <c r="Z499" s="276"/>
      <c r="AB499" s="278" t="str">
        <f t="shared" si="71"/>
        <v/>
      </c>
    </row>
    <row r="500" spans="1:28" s="277" customFormat="1" ht="20.25">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69"/>
        <v/>
      </c>
      <c r="T500" s="225" t="str">
        <f ca="1">IF(B500="","",IF(ISERROR(MATCH($J500,SorP!$B$1:$B$6230,0)),"",INDIRECT("'SorP'!$A$"&amp;MATCH($J500,SorP!$B$1:$B$6230,0))))</f>
        <v/>
      </c>
      <c r="U500" s="241"/>
      <c r="V500" s="275" t="e">
        <f>IF(C500="",NA(),MATCH($B500&amp;$C500,'Smelter Look-up'!$J:$J,0))</f>
        <v>#N/A</v>
      </c>
      <c r="W500" s="276"/>
      <c r="X500" s="276">
        <f t="shared" ca="1" si="70"/>
        <v>0</v>
      </c>
      <c r="Y500" s="276"/>
      <c r="Z500" s="276"/>
      <c r="AB500" s="278" t="str">
        <f t="shared" si="71"/>
        <v/>
      </c>
    </row>
    <row r="501" spans="1:28" s="277" customFormat="1" ht="20.25">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69"/>
        <v/>
      </c>
      <c r="T501" s="225" t="str">
        <f ca="1">IF(B501="","",IF(ISERROR(MATCH($J501,SorP!$B$1:$B$6230,0)),"",INDIRECT("'SorP'!$A$"&amp;MATCH($J501,SorP!$B$1:$B$6230,0))))</f>
        <v/>
      </c>
      <c r="U501" s="241"/>
      <c r="V501" s="275" t="e">
        <f>IF(C501="",NA(),MATCH($B501&amp;$C501,'Smelter Look-up'!$J:$J,0))</f>
        <v>#N/A</v>
      </c>
      <c r="W501" s="276"/>
      <c r="X501" s="276">
        <f t="shared" ca="1" si="70"/>
        <v>0</v>
      </c>
      <c r="Y501" s="276"/>
      <c r="Z501" s="276"/>
      <c r="AB501" s="278" t="str">
        <f t="shared" si="71"/>
        <v/>
      </c>
    </row>
    <row r="502" spans="1:28" s="277" customFormat="1" ht="20.25">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69"/>
        <v/>
      </c>
      <c r="T502" s="225" t="str">
        <f ca="1">IF(B502="","",IF(ISERROR(MATCH($J502,SorP!$B$1:$B$6230,0)),"",INDIRECT("'SorP'!$A$"&amp;MATCH($J502,SorP!$B$1:$B$6230,0))))</f>
        <v/>
      </c>
      <c r="U502" s="241"/>
      <c r="V502" s="275" t="e">
        <f>IF(C502="",NA(),MATCH($B502&amp;$C502,'Smelter Look-up'!$J:$J,0))</f>
        <v>#N/A</v>
      </c>
      <c r="W502" s="276"/>
      <c r="X502" s="276">
        <f t="shared" ca="1" si="70"/>
        <v>0</v>
      </c>
      <c r="Y502" s="276"/>
      <c r="Z502" s="276"/>
      <c r="AB502" s="278" t="str">
        <f t="shared" si="71"/>
        <v/>
      </c>
    </row>
    <row r="503" spans="1:28" s="277" customFormat="1" ht="20.25">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69"/>
        <v/>
      </c>
      <c r="T503" s="225" t="str">
        <f ca="1">IF(B503="","",IF(ISERROR(MATCH($J503,SorP!$B$1:$B$6230,0)),"",INDIRECT("'SorP'!$A$"&amp;MATCH($J503,SorP!$B$1:$B$6230,0))))</f>
        <v/>
      </c>
      <c r="U503" s="241"/>
      <c r="V503" s="275" t="e">
        <f>IF(C503="",NA(),MATCH($B503&amp;$C503,'Smelter Look-up'!$J:$J,0))</f>
        <v>#N/A</v>
      </c>
      <c r="W503" s="276"/>
      <c r="X503" s="276">
        <f t="shared" ca="1" si="70"/>
        <v>0</v>
      </c>
      <c r="Y503" s="276"/>
      <c r="Z503" s="276"/>
      <c r="AB503" s="278" t="str">
        <f t="shared" si="71"/>
        <v/>
      </c>
    </row>
    <row r="504" spans="1:28" s="277" customFormat="1" ht="20.25">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69"/>
        <v/>
      </c>
      <c r="T504" s="225" t="str">
        <f ca="1">IF(B504="","",IF(ISERROR(MATCH($J504,SorP!$B$1:$B$6230,0)),"",INDIRECT("'SorP'!$A$"&amp;MATCH($J504,SorP!$B$1:$B$6230,0))))</f>
        <v/>
      </c>
      <c r="U504" s="241"/>
      <c r="V504" s="275" t="e">
        <f>IF(C504="",NA(),MATCH($B504&amp;$C504,'Smelter Look-up'!$J:$J,0))</f>
        <v>#N/A</v>
      </c>
      <c r="W504" s="276"/>
      <c r="X504" s="276">
        <f t="shared" ca="1" si="70"/>
        <v>0</v>
      </c>
      <c r="Y504" s="276"/>
      <c r="Z504" s="276"/>
      <c r="AB504" s="278" t="str">
        <f t="shared" si="71"/>
        <v/>
      </c>
    </row>
    <row r="505" spans="1:28" s="277" customFormat="1" ht="20.25">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ca="1" si="69"/>
        <v/>
      </c>
      <c r="T505" s="225" t="str">
        <f ca="1">IF(B505="","",IF(ISERROR(MATCH($J505,SorP!$B$1:$B$6230,0)),"",INDIRECT("'SorP'!$A$"&amp;MATCH($J505,SorP!$B$1:$B$6230,0))))</f>
        <v/>
      </c>
      <c r="U505" s="241"/>
      <c r="V505" s="275" t="e">
        <f>IF(C505="",NA(),MATCH($B505&amp;$C505,'Smelter Look-up'!$J:$J,0))</f>
        <v>#N/A</v>
      </c>
      <c r="W505" s="276"/>
      <c r="X505" s="276">
        <f t="shared" ca="1" si="70"/>
        <v>0</v>
      </c>
      <c r="Y505" s="276"/>
      <c r="Z505" s="276"/>
      <c r="AB505" s="278" t="str">
        <f t="shared" si="71"/>
        <v/>
      </c>
    </row>
    <row r="506" spans="1:28" s="277" customFormat="1" ht="20.25">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t="shared" ca="1" si="69"/>
        <v/>
      </c>
      <c r="T506" s="225" t="str">
        <f ca="1">IF(B506="","",IF(ISERROR(MATCH($J506,SorP!$B$1:$B$6230,0)),"",INDIRECT("'SorP'!$A$"&amp;MATCH($J506,SorP!$B$1:$B$6230,0))))</f>
        <v/>
      </c>
      <c r="U506" s="241"/>
      <c r="V506" s="275" t="e">
        <f>IF(C506="",NA(),MATCH($B506&amp;$C506,'Smelter Look-up'!$J:$J,0))</f>
        <v>#N/A</v>
      </c>
      <c r="W506" s="276"/>
      <c r="X506" s="276">
        <f t="shared" ca="1" si="70"/>
        <v>0</v>
      </c>
      <c r="Y506" s="276"/>
      <c r="Z506" s="276"/>
      <c r="AB506" s="278" t="str">
        <f t="shared" si="71"/>
        <v/>
      </c>
    </row>
    <row r="507" spans="1:28" s="277" customFormat="1" ht="20.25">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t="shared" ca="1" si="69"/>
        <v/>
      </c>
      <c r="T507" s="225" t="str">
        <f ca="1">IF(B507="","",IF(ISERROR(MATCH($J507,SorP!$B$1:$B$6230,0)),"",INDIRECT("'SorP'!$A$"&amp;MATCH($J507,SorP!$B$1:$B$6230,0))))</f>
        <v/>
      </c>
      <c r="U507" s="241"/>
      <c r="V507" s="275" t="e">
        <f>IF(C507="",NA(),MATCH($B507&amp;$C507,'Smelter Look-up'!$J:$J,0))</f>
        <v>#N/A</v>
      </c>
      <c r="W507" s="276"/>
      <c r="X507" s="276">
        <f t="shared" ca="1" si="70"/>
        <v>0</v>
      </c>
      <c r="Y507" s="276"/>
      <c r="Z507" s="276"/>
      <c r="AB507" s="278" t="str">
        <f t="shared" si="71"/>
        <v/>
      </c>
    </row>
    <row r="508" spans="1:28" s="277" customFormat="1" ht="20.25">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t="shared" ca="1" si="69"/>
        <v/>
      </c>
      <c r="T508" s="225" t="str">
        <f ca="1">IF(B508="","",IF(ISERROR(MATCH($J508,SorP!$B$1:$B$6230,0)),"",INDIRECT("'SorP'!$A$"&amp;MATCH($J508,SorP!$B$1:$B$6230,0))))</f>
        <v/>
      </c>
      <c r="U508" s="241"/>
      <c r="V508" s="275" t="e">
        <f>IF(C508="",NA(),MATCH($B508&amp;$C508,'Smelter Look-up'!$J:$J,0))</f>
        <v>#N/A</v>
      </c>
      <c r="W508" s="276"/>
      <c r="X508" s="276">
        <f t="shared" ca="1" si="70"/>
        <v>0</v>
      </c>
      <c r="Y508" s="276"/>
      <c r="Z508" s="276"/>
      <c r="AB508" s="278" t="str">
        <f t="shared" si="71"/>
        <v/>
      </c>
    </row>
    <row r="509" spans="1:28" s="277" customFormat="1" ht="20.25">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t="shared" ca="1" si="69"/>
        <v/>
      </c>
      <c r="T509" s="225" t="str">
        <f ca="1">IF(B509="","",IF(ISERROR(MATCH($J509,SorP!$B$1:$B$6230,0)),"",INDIRECT("'SorP'!$A$"&amp;MATCH($J509,SorP!$B$1:$B$6230,0))))</f>
        <v/>
      </c>
      <c r="U509" s="241"/>
      <c r="V509" s="275" t="e">
        <f>IF(C509="",NA(),MATCH($B509&amp;$C509,'Smelter Look-up'!$J:$J,0))</f>
        <v>#N/A</v>
      </c>
      <c r="W509" s="276"/>
      <c r="X509" s="276">
        <f t="shared" ca="1" si="70"/>
        <v>0</v>
      </c>
      <c r="Y509" s="276"/>
      <c r="Z509" s="276"/>
      <c r="AB509" s="278" t="str">
        <f t="shared" si="71"/>
        <v/>
      </c>
    </row>
    <row r="510" spans="1:28" s="277" customFormat="1" ht="20.25">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ca="1" si="69"/>
        <v/>
      </c>
      <c r="T510" s="225" t="str">
        <f ca="1">IF(B510="","",IF(ISERROR(MATCH($J510,SorP!$B$1:$B$6230,0)),"",INDIRECT("'SorP'!$A$"&amp;MATCH($J510,SorP!$B$1:$B$6230,0))))</f>
        <v/>
      </c>
      <c r="U510" s="241"/>
      <c r="V510" s="275" t="e">
        <f>IF(C510="",NA(),MATCH($B510&amp;$C510,'Smelter Look-up'!$J:$J,0))</f>
        <v>#N/A</v>
      </c>
      <c r="W510" s="276"/>
      <c r="X510" s="276">
        <f t="shared" ca="1" si="70"/>
        <v>0</v>
      </c>
      <c r="Y510" s="276"/>
      <c r="Z510" s="276"/>
      <c r="AB510" s="278" t="str">
        <f t="shared" si="71"/>
        <v/>
      </c>
    </row>
    <row r="511" spans="1:28" s="277" customFormat="1" ht="20.25">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ca="1" si="69"/>
        <v/>
      </c>
      <c r="T511" s="225" t="str">
        <f ca="1">IF(B511="","",IF(ISERROR(MATCH($J511,SorP!$B$1:$B$6230,0)),"",INDIRECT("'SorP'!$A$"&amp;MATCH($J511,SorP!$B$1:$B$6230,0))))</f>
        <v/>
      </c>
      <c r="U511" s="241"/>
      <c r="V511" s="275" t="e">
        <f>IF(C511="",NA(),MATCH($B511&amp;$C511,'Smelter Look-up'!$J:$J,0))</f>
        <v>#N/A</v>
      </c>
      <c r="W511" s="276"/>
      <c r="X511" s="276">
        <f t="shared" ca="1" si="70"/>
        <v>0</v>
      </c>
      <c r="Y511" s="276"/>
      <c r="Z511" s="276"/>
      <c r="AB511" s="278" t="str">
        <f t="shared" si="71"/>
        <v/>
      </c>
    </row>
    <row r="512" spans="1:28" s="277" customFormat="1" ht="20.25">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69"/>
        <v/>
      </c>
      <c r="T512" s="225" t="str">
        <f ca="1">IF(B512="","",IF(ISERROR(MATCH($J512,SorP!$B$1:$B$6230,0)),"",INDIRECT("'SorP'!$A$"&amp;MATCH($J512,SorP!$B$1:$B$6230,0))))</f>
        <v/>
      </c>
      <c r="U512" s="241"/>
      <c r="V512" s="275" t="e">
        <f>IF(C512="",NA(),MATCH($B512&amp;$C512,'Smelter Look-up'!$J:$J,0))</f>
        <v>#N/A</v>
      </c>
      <c r="W512" s="276"/>
      <c r="X512" s="276">
        <f t="shared" ca="1" si="70"/>
        <v>0</v>
      </c>
      <c r="Y512" s="276"/>
      <c r="Z512" s="276"/>
      <c r="AB512" s="278" t="str">
        <f t="shared" si="71"/>
        <v/>
      </c>
    </row>
    <row r="513" spans="1:28" s="277" customFormat="1" ht="20.25">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69"/>
        <v/>
      </c>
      <c r="T513" s="225" t="str">
        <f ca="1">IF(B513="","",IF(ISERROR(MATCH($J513,SorP!$B$1:$B$6230,0)),"",INDIRECT("'SorP'!$A$"&amp;MATCH($J513,SorP!$B$1:$B$6230,0))))</f>
        <v/>
      </c>
      <c r="U513" s="241"/>
      <c r="V513" s="275" t="e">
        <f>IF(C513="",NA(),MATCH($B513&amp;$C513,'Smelter Look-up'!$J:$J,0))</f>
        <v>#N/A</v>
      </c>
      <c r="W513" s="276"/>
      <c r="X513" s="276">
        <f t="shared" ca="1" si="70"/>
        <v>0</v>
      </c>
      <c r="Y513" s="276"/>
      <c r="Z513" s="276"/>
      <c r="AB513" s="278" t="str">
        <f t="shared" si="71"/>
        <v/>
      </c>
    </row>
    <row r="514" spans="1:28" s="277" customFormat="1" ht="20.25">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69"/>
        <v/>
      </c>
      <c r="T514" s="225" t="str">
        <f ca="1">IF(B514="","",IF(ISERROR(MATCH($J514,SorP!$B$1:$B$6230,0)),"",INDIRECT("'SorP'!$A$"&amp;MATCH($J514,SorP!$B$1:$B$6230,0))))</f>
        <v/>
      </c>
      <c r="U514" s="241"/>
      <c r="V514" s="275" t="e">
        <f>IF(C514="",NA(),MATCH($B514&amp;$C514,'Smelter Look-up'!$J:$J,0))</f>
        <v>#N/A</v>
      </c>
      <c r="W514" s="276"/>
      <c r="X514" s="276">
        <f t="shared" ca="1" si="70"/>
        <v>0</v>
      </c>
      <c r="Y514" s="276"/>
      <c r="Z514" s="276"/>
      <c r="AB514" s="278" t="str">
        <f t="shared" si="71"/>
        <v/>
      </c>
    </row>
    <row r="515" spans="1:28" s="277" customFormat="1" ht="20.25">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69"/>
        <v/>
      </c>
      <c r="T515" s="225" t="str">
        <f ca="1">IF(B515="","",IF(ISERROR(MATCH($J515,SorP!$B$1:$B$6230,0)),"",INDIRECT("'SorP'!$A$"&amp;MATCH($J515,SorP!$B$1:$B$6230,0))))</f>
        <v/>
      </c>
      <c r="U515" s="241"/>
      <c r="V515" s="275" t="e">
        <f>IF(C515="",NA(),MATCH($B515&amp;$C515,'Smelter Look-up'!$J:$J,0))</f>
        <v>#N/A</v>
      </c>
      <c r="W515" s="276"/>
      <c r="X515" s="276">
        <f t="shared" ca="1" si="70"/>
        <v>0</v>
      </c>
      <c r="Y515" s="276"/>
      <c r="Z515" s="276"/>
      <c r="AB515" s="278" t="str">
        <f t="shared" si="71"/>
        <v/>
      </c>
    </row>
    <row r="516" spans="1:28" s="277" customFormat="1" ht="20.25">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ca="1" si="69"/>
        <v/>
      </c>
      <c r="T516" s="225" t="str">
        <f ca="1">IF(B516="","",IF(ISERROR(MATCH($J516,SorP!$B$1:$B$6230,0)),"",INDIRECT("'SorP'!$A$"&amp;MATCH($J516,SorP!$B$1:$B$6230,0))))</f>
        <v/>
      </c>
      <c r="U516" s="241"/>
      <c r="V516" s="275" t="e">
        <f>IF(C516="",NA(),MATCH($B516&amp;$C516,'Smelter Look-up'!$J:$J,0))</f>
        <v>#N/A</v>
      </c>
      <c r="W516" s="276"/>
      <c r="X516" s="276">
        <f t="shared" ca="1" si="70"/>
        <v>0</v>
      </c>
      <c r="Y516" s="276"/>
      <c r="Z516" s="276"/>
      <c r="AB516" s="278" t="str">
        <f t="shared" si="71"/>
        <v/>
      </c>
    </row>
    <row r="517" spans="1:28" s="277" customFormat="1" ht="20.25">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ref="S517" ca="1" si="72">IF(B517="","",IF(ISERROR(MATCH($E517,CL,0)),"Unknown",INDIRECT("'C'!$A$"&amp;MATCH($E517,CL,0)+1)))</f>
        <v/>
      </c>
      <c r="T517" s="225" t="str">
        <f ca="1">IF(B517="","",IF(ISERROR(MATCH($J517,SorP!$B$1:$B$6230,0)),"",INDIRECT("'SorP'!$A$"&amp;MATCH($J517,SorP!$B$1:$B$6230,0))))</f>
        <v/>
      </c>
      <c r="U517" s="241"/>
      <c r="V517" s="275" t="e">
        <f>IF(C517="",NA(),MATCH($B517&amp;$C517,'Smelter Look-up'!$J:$J,0))</f>
        <v>#N/A</v>
      </c>
      <c r="W517" s="276"/>
      <c r="X517" s="276">
        <f t="shared" ref="X517" ca="1" si="73">IF(AND(C517="Smelter not listed",OR(LEN(D517)=0,LEN(E517)=0)),1,0)</f>
        <v>0</v>
      </c>
      <c r="Y517" s="276"/>
      <c r="Z517" s="276"/>
      <c r="AB517" s="278" t="str">
        <f t="shared" ref="AB517" si="74">B517&amp;C517</f>
        <v/>
      </c>
    </row>
    <row r="518" spans="1:28" s="277" customFormat="1" ht="20.25">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ref="S518:S549" ca="1" si="75">IF(B518="","",IF(ISERROR(MATCH($E518,CL,0)),"Unknown",INDIRECT("'C'!$A$"&amp;MATCH($E518,CL,0)+1)))</f>
        <v/>
      </c>
      <c r="T518" s="225" t="str">
        <f ca="1">IF(B518="","",IF(ISERROR(MATCH($J518,SorP!$B$1:$B$6230,0)),"",INDIRECT("'SorP'!$A$"&amp;MATCH($J518,SorP!$B$1:$B$6230,0))))</f>
        <v/>
      </c>
      <c r="U518" s="241"/>
      <c r="V518" s="275" t="e">
        <f>IF(C518="",NA(),MATCH($B518&amp;$C518,'Smelter Look-up'!$J:$J,0))</f>
        <v>#N/A</v>
      </c>
      <c r="W518" s="276"/>
      <c r="X518" s="276">
        <f t="shared" ref="X518:X549" ca="1" si="76">IF(AND(C518="Smelter not listed",OR(LEN(D518)=0,LEN(E518)=0)),1,0)</f>
        <v>0</v>
      </c>
      <c r="Y518" s="276"/>
      <c r="Z518" s="276"/>
      <c r="AB518" s="278" t="str">
        <f t="shared" ref="AB518:AB549" si="77">B518&amp;C518</f>
        <v/>
      </c>
    </row>
    <row r="519" spans="1:28" s="277" customFormat="1" ht="20.25">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75"/>
        <v/>
      </c>
      <c r="T519" s="225" t="str">
        <f ca="1">IF(B519="","",IF(ISERROR(MATCH($J519,SorP!$B$1:$B$6230,0)),"",INDIRECT("'SorP'!$A$"&amp;MATCH($J519,SorP!$B$1:$B$6230,0))))</f>
        <v/>
      </c>
      <c r="U519" s="241"/>
      <c r="V519" s="275" t="e">
        <f>IF(C519="",NA(),MATCH($B519&amp;$C519,'Smelter Look-up'!$J:$J,0))</f>
        <v>#N/A</v>
      </c>
      <c r="W519" s="276"/>
      <c r="X519" s="276">
        <f t="shared" ca="1" si="76"/>
        <v>0</v>
      </c>
      <c r="Y519" s="276"/>
      <c r="Z519" s="276"/>
      <c r="AB519" s="278" t="str">
        <f t="shared" si="77"/>
        <v/>
      </c>
    </row>
    <row r="520" spans="1:28" s="277" customFormat="1" ht="20.25">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75"/>
        <v/>
      </c>
      <c r="T520" s="225" t="str">
        <f ca="1">IF(B520="","",IF(ISERROR(MATCH($J520,SorP!$B$1:$B$6230,0)),"",INDIRECT("'SorP'!$A$"&amp;MATCH($J520,SorP!$B$1:$B$6230,0))))</f>
        <v/>
      </c>
      <c r="U520" s="241"/>
      <c r="V520" s="275" t="e">
        <f>IF(C520="",NA(),MATCH($B520&amp;$C520,'Smelter Look-up'!$J:$J,0))</f>
        <v>#N/A</v>
      </c>
      <c r="W520" s="276"/>
      <c r="X520" s="276">
        <f t="shared" ca="1" si="76"/>
        <v>0</v>
      </c>
      <c r="Y520" s="276"/>
      <c r="Z520" s="276"/>
      <c r="AB520" s="278" t="str">
        <f t="shared" si="77"/>
        <v/>
      </c>
    </row>
    <row r="521" spans="1:28" s="277" customFormat="1" ht="20.25">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75"/>
        <v/>
      </c>
      <c r="T521" s="225" t="str">
        <f ca="1">IF(B521="","",IF(ISERROR(MATCH($J521,SorP!$B$1:$B$6230,0)),"",INDIRECT("'SorP'!$A$"&amp;MATCH($J521,SorP!$B$1:$B$6230,0))))</f>
        <v/>
      </c>
      <c r="U521" s="241"/>
      <c r="V521" s="275" t="e">
        <f>IF(C521="",NA(),MATCH($B521&amp;$C521,'Smelter Look-up'!$J:$J,0))</f>
        <v>#N/A</v>
      </c>
      <c r="W521" s="276"/>
      <c r="X521" s="276">
        <f t="shared" ca="1" si="76"/>
        <v>0</v>
      </c>
      <c r="Y521" s="276"/>
      <c r="Z521" s="276"/>
      <c r="AB521" s="278" t="str">
        <f t="shared" si="77"/>
        <v/>
      </c>
    </row>
    <row r="522" spans="1:28" s="277" customFormat="1" ht="20.25">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75"/>
        <v/>
      </c>
      <c r="T522" s="225" t="str">
        <f ca="1">IF(B522="","",IF(ISERROR(MATCH($J522,SorP!$B$1:$B$6230,0)),"",INDIRECT("'SorP'!$A$"&amp;MATCH($J522,SorP!$B$1:$B$6230,0))))</f>
        <v/>
      </c>
      <c r="U522" s="241"/>
      <c r="V522" s="275" t="e">
        <f>IF(C522="",NA(),MATCH($B522&amp;$C522,'Smelter Look-up'!$J:$J,0))</f>
        <v>#N/A</v>
      </c>
      <c r="W522" s="276"/>
      <c r="X522" s="276">
        <f t="shared" ca="1" si="76"/>
        <v>0</v>
      </c>
      <c r="Y522" s="276"/>
      <c r="Z522" s="276"/>
      <c r="AB522" s="278" t="str">
        <f t="shared" si="77"/>
        <v/>
      </c>
    </row>
    <row r="523" spans="1:28" s="277" customFormat="1" ht="20.25">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75"/>
        <v/>
      </c>
      <c r="T523" s="225" t="str">
        <f ca="1">IF(B523="","",IF(ISERROR(MATCH($J523,SorP!$B$1:$B$6230,0)),"",INDIRECT("'SorP'!$A$"&amp;MATCH($J523,SorP!$B$1:$B$6230,0))))</f>
        <v/>
      </c>
      <c r="U523" s="241"/>
      <c r="V523" s="275" t="e">
        <f>IF(C523="",NA(),MATCH($B523&amp;$C523,'Smelter Look-up'!$J:$J,0))</f>
        <v>#N/A</v>
      </c>
      <c r="W523" s="276"/>
      <c r="X523" s="276">
        <f t="shared" ca="1" si="76"/>
        <v>0</v>
      </c>
      <c r="Y523" s="276"/>
      <c r="Z523" s="276"/>
      <c r="AB523" s="278" t="str">
        <f t="shared" si="77"/>
        <v/>
      </c>
    </row>
    <row r="524" spans="1:28" s="277" customFormat="1" ht="20.25">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75"/>
        <v/>
      </c>
      <c r="T524" s="225" t="str">
        <f ca="1">IF(B524="","",IF(ISERROR(MATCH($J524,SorP!$B$1:$B$6230,0)),"",INDIRECT("'SorP'!$A$"&amp;MATCH($J524,SorP!$B$1:$B$6230,0))))</f>
        <v/>
      </c>
      <c r="U524" s="241"/>
      <c r="V524" s="275" t="e">
        <f>IF(C524="",NA(),MATCH($B524&amp;$C524,'Smelter Look-up'!$J:$J,0))</f>
        <v>#N/A</v>
      </c>
      <c r="W524" s="276"/>
      <c r="X524" s="276">
        <f t="shared" ca="1" si="76"/>
        <v>0</v>
      </c>
      <c r="Y524" s="276"/>
      <c r="Z524" s="276"/>
      <c r="AB524" s="278" t="str">
        <f t="shared" si="77"/>
        <v/>
      </c>
    </row>
    <row r="525" spans="1:28" s="277" customFormat="1" ht="20.25">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75"/>
        <v/>
      </c>
      <c r="T525" s="225" t="str">
        <f ca="1">IF(B525="","",IF(ISERROR(MATCH($J525,SorP!$B$1:$B$6230,0)),"",INDIRECT("'SorP'!$A$"&amp;MATCH($J525,SorP!$B$1:$B$6230,0))))</f>
        <v/>
      </c>
      <c r="U525" s="241"/>
      <c r="V525" s="275" t="e">
        <f>IF(C525="",NA(),MATCH($B525&amp;$C525,'Smelter Look-up'!$J:$J,0))</f>
        <v>#N/A</v>
      </c>
      <c r="W525" s="276"/>
      <c r="X525" s="276">
        <f t="shared" ca="1" si="76"/>
        <v>0</v>
      </c>
      <c r="Y525" s="276"/>
      <c r="Z525" s="276"/>
      <c r="AB525" s="278" t="str">
        <f t="shared" si="77"/>
        <v/>
      </c>
    </row>
    <row r="526" spans="1:28" s="277" customFormat="1" ht="20.25">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75"/>
        <v/>
      </c>
      <c r="T526" s="225" t="str">
        <f ca="1">IF(B526="","",IF(ISERROR(MATCH($J526,SorP!$B$1:$B$6230,0)),"",INDIRECT("'SorP'!$A$"&amp;MATCH($J526,SorP!$B$1:$B$6230,0))))</f>
        <v/>
      </c>
      <c r="U526" s="241"/>
      <c r="V526" s="275" t="e">
        <f>IF(C526="",NA(),MATCH($B526&amp;$C526,'Smelter Look-up'!$J:$J,0))</f>
        <v>#N/A</v>
      </c>
      <c r="W526" s="276"/>
      <c r="X526" s="276">
        <f t="shared" ca="1" si="76"/>
        <v>0</v>
      </c>
      <c r="Y526" s="276"/>
      <c r="Z526" s="276"/>
      <c r="AB526" s="278" t="str">
        <f t="shared" si="77"/>
        <v/>
      </c>
    </row>
    <row r="527" spans="1:28" s="277" customFormat="1" ht="20.25">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75"/>
        <v/>
      </c>
      <c r="T527" s="225" t="str">
        <f ca="1">IF(B527="","",IF(ISERROR(MATCH($J527,SorP!$B$1:$B$6230,0)),"",INDIRECT("'SorP'!$A$"&amp;MATCH($J527,SorP!$B$1:$B$6230,0))))</f>
        <v/>
      </c>
      <c r="U527" s="241"/>
      <c r="V527" s="275" t="e">
        <f>IF(C527="",NA(),MATCH($B527&amp;$C527,'Smelter Look-up'!$J:$J,0))</f>
        <v>#N/A</v>
      </c>
      <c r="W527" s="276"/>
      <c r="X527" s="276">
        <f t="shared" ca="1" si="76"/>
        <v>0</v>
      </c>
      <c r="Y527" s="276"/>
      <c r="Z527" s="276"/>
      <c r="AB527" s="278" t="str">
        <f t="shared" si="77"/>
        <v/>
      </c>
    </row>
    <row r="528" spans="1:28" s="277" customFormat="1" ht="20.25">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75"/>
        <v/>
      </c>
      <c r="T528" s="225" t="str">
        <f ca="1">IF(B528="","",IF(ISERROR(MATCH($J528,SorP!$B$1:$B$6230,0)),"",INDIRECT("'SorP'!$A$"&amp;MATCH($J528,SorP!$B$1:$B$6230,0))))</f>
        <v/>
      </c>
      <c r="U528" s="241"/>
      <c r="V528" s="275" t="e">
        <f>IF(C528="",NA(),MATCH($B528&amp;$C528,'Smelter Look-up'!$J:$J,0))</f>
        <v>#N/A</v>
      </c>
      <c r="W528" s="276"/>
      <c r="X528" s="276">
        <f t="shared" ca="1" si="76"/>
        <v>0</v>
      </c>
      <c r="Y528" s="276"/>
      <c r="Z528" s="276"/>
      <c r="AB528" s="278" t="str">
        <f t="shared" si="77"/>
        <v/>
      </c>
    </row>
    <row r="529" spans="1:28" s="277" customFormat="1" ht="20.25">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75"/>
        <v/>
      </c>
      <c r="T529" s="225" t="str">
        <f ca="1">IF(B529="","",IF(ISERROR(MATCH($J529,SorP!$B$1:$B$6230,0)),"",INDIRECT("'SorP'!$A$"&amp;MATCH($J529,SorP!$B$1:$B$6230,0))))</f>
        <v/>
      </c>
      <c r="U529" s="241"/>
      <c r="V529" s="275" t="e">
        <f>IF(C529="",NA(),MATCH($B529&amp;$C529,'Smelter Look-up'!$J:$J,0))</f>
        <v>#N/A</v>
      </c>
      <c r="W529" s="276"/>
      <c r="X529" s="276">
        <f t="shared" ca="1" si="76"/>
        <v>0</v>
      </c>
      <c r="Y529" s="276"/>
      <c r="Z529" s="276"/>
      <c r="AB529" s="278" t="str">
        <f t="shared" si="77"/>
        <v/>
      </c>
    </row>
    <row r="530" spans="1:28" s="277" customFormat="1" ht="20.25">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75"/>
        <v/>
      </c>
      <c r="T530" s="225" t="str">
        <f ca="1">IF(B530="","",IF(ISERROR(MATCH($J530,SorP!$B$1:$B$6230,0)),"",INDIRECT("'SorP'!$A$"&amp;MATCH($J530,SorP!$B$1:$B$6230,0))))</f>
        <v/>
      </c>
      <c r="U530" s="241"/>
      <c r="V530" s="275" t="e">
        <f>IF(C530="",NA(),MATCH($B530&amp;$C530,'Smelter Look-up'!$J:$J,0))</f>
        <v>#N/A</v>
      </c>
      <c r="W530" s="276"/>
      <c r="X530" s="276">
        <f t="shared" ca="1" si="76"/>
        <v>0</v>
      </c>
      <c r="Y530" s="276"/>
      <c r="Z530" s="276"/>
      <c r="AB530" s="278" t="str">
        <f t="shared" si="77"/>
        <v/>
      </c>
    </row>
    <row r="531" spans="1:28" s="277" customFormat="1" ht="20.25">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75"/>
        <v/>
      </c>
      <c r="T531" s="225" t="str">
        <f ca="1">IF(B531="","",IF(ISERROR(MATCH($J531,SorP!$B$1:$B$6230,0)),"",INDIRECT("'SorP'!$A$"&amp;MATCH($J531,SorP!$B$1:$B$6230,0))))</f>
        <v/>
      </c>
      <c r="U531" s="241"/>
      <c r="V531" s="275" t="e">
        <f>IF(C531="",NA(),MATCH($B531&amp;$C531,'Smelter Look-up'!$J:$J,0))</f>
        <v>#N/A</v>
      </c>
      <c r="W531" s="276"/>
      <c r="X531" s="276">
        <f t="shared" ca="1" si="76"/>
        <v>0</v>
      </c>
      <c r="Y531" s="276"/>
      <c r="Z531" s="276"/>
      <c r="AB531" s="278" t="str">
        <f t="shared" si="77"/>
        <v/>
      </c>
    </row>
    <row r="532" spans="1:28" s="277" customFormat="1" ht="20.25">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75"/>
        <v/>
      </c>
      <c r="T532" s="225" t="str">
        <f ca="1">IF(B532="","",IF(ISERROR(MATCH($J532,SorP!$B$1:$B$6230,0)),"",INDIRECT("'SorP'!$A$"&amp;MATCH($J532,SorP!$B$1:$B$6230,0))))</f>
        <v/>
      </c>
      <c r="U532" s="241"/>
      <c r="V532" s="275" t="e">
        <f>IF(C532="",NA(),MATCH($B532&amp;$C532,'Smelter Look-up'!$J:$J,0))</f>
        <v>#N/A</v>
      </c>
      <c r="W532" s="276"/>
      <c r="X532" s="276">
        <f t="shared" ca="1" si="76"/>
        <v>0</v>
      </c>
      <c r="Y532" s="276"/>
      <c r="Z532" s="276"/>
      <c r="AB532" s="278" t="str">
        <f t="shared" si="77"/>
        <v/>
      </c>
    </row>
    <row r="533" spans="1:28" s="277" customFormat="1" ht="20.25">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75"/>
        <v/>
      </c>
      <c r="T533" s="225" t="str">
        <f ca="1">IF(B533="","",IF(ISERROR(MATCH($J533,SorP!$B$1:$B$6230,0)),"",INDIRECT("'SorP'!$A$"&amp;MATCH($J533,SorP!$B$1:$B$6230,0))))</f>
        <v/>
      </c>
      <c r="U533" s="241"/>
      <c r="V533" s="275" t="e">
        <f>IF(C533="",NA(),MATCH($B533&amp;$C533,'Smelter Look-up'!$J:$J,0))</f>
        <v>#N/A</v>
      </c>
      <c r="W533" s="276"/>
      <c r="X533" s="276">
        <f t="shared" ca="1" si="76"/>
        <v>0</v>
      </c>
      <c r="Y533" s="276"/>
      <c r="Z533" s="276"/>
      <c r="AB533" s="278" t="str">
        <f t="shared" si="77"/>
        <v/>
      </c>
    </row>
    <row r="534" spans="1:28" s="277" customFormat="1" ht="20.25">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75"/>
        <v/>
      </c>
      <c r="T534" s="225" t="str">
        <f ca="1">IF(B534="","",IF(ISERROR(MATCH($J534,SorP!$B$1:$B$6230,0)),"",INDIRECT("'SorP'!$A$"&amp;MATCH($J534,SorP!$B$1:$B$6230,0))))</f>
        <v/>
      </c>
      <c r="U534" s="241"/>
      <c r="V534" s="275" t="e">
        <f>IF(C534="",NA(),MATCH($B534&amp;$C534,'Smelter Look-up'!$J:$J,0))</f>
        <v>#N/A</v>
      </c>
      <c r="W534" s="276"/>
      <c r="X534" s="276">
        <f t="shared" ca="1" si="76"/>
        <v>0</v>
      </c>
      <c r="Y534" s="276"/>
      <c r="Z534" s="276"/>
      <c r="AB534" s="278" t="str">
        <f t="shared" si="77"/>
        <v/>
      </c>
    </row>
    <row r="535" spans="1:28" s="277" customFormat="1" ht="20.25">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75"/>
        <v/>
      </c>
      <c r="T535" s="225" t="str">
        <f ca="1">IF(B535="","",IF(ISERROR(MATCH($J535,SorP!$B$1:$B$6230,0)),"",INDIRECT("'SorP'!$A$"&amp;MATCH($J535,SorP!$B$1:$B$6230,0))))</f>
        <v/>
      </c>
      <c r="U535" s="241"/>
      <c r="V535" s="275" t="e">
        <f>IF(C535="",NA(),MATCH($B535&amp;$C535,'Smelter Look-up'!$J:$J,0))</f>
        <v>#N/A</v>
      </c>
      <c r="W535" s="276"/>
      <c r="X535" s="276">
        <f t="shared" ca="1" si="76"/>
        <v>0</v>
      </c>
      <c r="Y535" s="276"/>
      <c r="Z535" s="276"/>
      <c r="AB535" s="278" t="str">
        <f t="shared" si="77"/>
        <v/>
      </c>
    </row>
    <row r="536" spans="1:28" s="277" customFormat="1" ht="20.25">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75"/>
        <v/>
      </c>
      <c r="T536" s="225" t="str">
        <f ca="1">IF(B536="","",IF(ISERROR(MATCH($J536,SorP!$B$1:$B$6230,0)),"",INDIRECT("'SorP'!$A$"&amp;MATCH($J536,SorP!$B$1:$B$6230,0))))</f>
        <v/>
      </c>
      <c r="U536" s="241"/>
      <c r="V536" s="275" t="e">
        <f>IF(C536="",NA(),MATCH($B536&amp;$C536,'Smelter Look-up'!$J:$J,0))</f>
        <v>#N/A</v>
      </c>
      <c r="W536" s="276"/>
      <c r="X536" s="276">
        <f t="shared" ca="1" si="76"/>
        <v>0</v>
      </c>
      <c r="Y536" s="276"/>
      <c r="Z536" s="276"/>
      <c r="AB536" s="278" t="str">
        <f t="shared" si="77"/>
        <v/>
      </c>
    </row>
    <row r="537" spans="1:28" s="277" customFormat="1" ht="20.25">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75"/>
        <v/>
      </c>
      <c r="T537" s="225" t="str">
        <f ca="1">IF(B537="","",IF(ISERROR(MATCH($J537,SorP!$B$1:$B$6230,0)),"",INDIRECT("'SorP'!$A$"&amp;MATCH($J537,SorP!$B$1:$B$6230,0))))</f>
        <v/>
      </c>
      <c r="U537" s="241"/>
      <c r="V537" s="275" t="e">
        <f>IF(C537="",NA(),MATCH($B537&amp;$C537,'Smelter Look-up'!$J:$J,0))</f>
        <v>#N/A</v>
      </c>
      <c r="W537" s="276"/>
      <c r="X537" s="276">
        <f t="shared" ca="1" si="76"/>
        <v>0</v>
      </c>
      <c r="Y537" s="276"/>
      <c r="Z537" s="276"/>
      <c r="AB537" s="278" t="str">
        <f t="shared" si="77"/>
        <v/>
      </c>
    </row>
    <row r="538" spans="1:28" s="277" customFormat="1" ht="20.25">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75"/>
        <v/>
      </c>
      <c r="T538" s="225" t="str">
        <f ca="1">IF(B538="","",IF(ISERROR(MATCH($J538,SorP!$B$1:$B$6230,0)),"",INDIRECT("'SorP'!$A$"&amp;MATCH($J538,SorP!$B$1:$B$6230,0))))</f>
        <v/>
      </c>
      <c r="U538" s="241"/>
      <c r="V538" s="275" t="e">
        <f>IF(C538="",NA(),MATCH($B538&amp;$C538,'Smelter Look-up'!$J:$J,0))</f>
        <v>#N/A</v>
      </c>
      <c r="W538" s="276"/>
      <c r="X538" s="276">
        <f t="shared" ca="1" si="76"/>
        <v>0</v>
      </c>
      <c r="Y538" s="276"/>
      <c r="Z538" s="276"/>
      <c r="AB538" s="278" t="str">
        <f t="shared" si="77"/>
        <v/>
      </c>
    </row>
    <row r="539" spans="1:28" s="277" customFormat="1" ht="20.25">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75"/>
        <v/>
      </c>
      <c r="T539" s="225" t="str">
        <f ca="1">IF(B539="","",IF(ISERROR(MATCH($J539,SorP!$B$1:$B$6230,0)),"",INDIRECT("'SorP'!$A$"&amp;MATCH($J539,SorP!$B$1:$B$6230,0))))</f>
        <v/>
      </c>
      <c r="U539" s="241"/>
      <c r="V539" s="275" t="e">
        <f>IF(C539="",NA(),MATCH($B539&amp;$C539,'Smelter Look-up'!$J:$J,0))</f>
        <v>#N/A</v>
      </c>
      <c r="W539" s="276"/>
      <c r="X539" s="276">
        <f t="shared" ca="1" si="76"/>
        <v>0</v>
      </c>
      <c r="Y539" s="276"/>
      <c r="Z539" s="276"/>
      <c r="AB539" s="278" t="str">
        <f t="shared" si="77"/>
        <v/>
      </c>
    </row>
    <row r="540" spans="1:28" s="277" customFormat="1" ht="20.25">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ca="1" si="75"/>
        <v/>
      </c>
      <c r="T540" s="225" t="str">
        <f ca="1">IF(B540="","",IF(ISERROR(MATCH($J540,SorP!$B$1:$B$6230,0)),"",INDIRECT("'SorP'!$A$"&amp;MATCH($J540,SorP!$B$1:$B$6230,0))))</f>
        <v/>
      </c>
      <c r="U540" s="241"/>
      <c r="V540" s="275" t="e">
        <f>IF(C540="",NA(),MATCH($B540&amp;$C540,'Smelter Look-up'!$J:$J,0))</f>
        <v>#N/A</v>
      </c>
      <c r="W540" s="276"/>
      <c r="X540" s="276">
        <f t="shared" ca="1" si="76"/>
        <v>0</v>
      </c>
      <c r="Y540" s="276"/>
      <c r="Z540" s="276"/>
      <c r="AB540" s="278" t="str">
        <f t="shared" si="77"/>
        <v/>
      </c>
    </row>
    <row r="541" spans="1:28" s="277" customFormat="1" ht="20.25">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75"/>
        <v/>
      </c>
      <c r="T541" s="225" t="str">
        <f ca="1">IF(B541="","",IF(ISERROR(MATCH($J541,SorP!$B$1:$B$6230,0)),"",INDIRECT("'SorP'!$A$"&amp;MATCH($J541,SorP!$B$1:$B$6230,0))))</f>
        <v/>
      </c>
      <c r="U541" s="241"/>
      <c r="V541" s="275" t="e">
        <f>IF(C541="",NA(),MATCH($B541&amp;$C541,'Smelter Look-up'!$J:$J,0))</f>
        <v>#N/A</v>
      </c>
      <c r="W541" s="276"/>
      <c r="X541" s="276">
        <f t="shared" ca="1" si="76"/>
        <v>0</v>
      </c>
      <c r="Y541" s="276"/>
      <c r="Z541" s="276"/>
      <c r="AB541" s="278" t="str">
        <f t="shared" si="77"/>
        <v/>
      </c>
    </row>
    <row r="542" spans="1:28" s="277" customFormat="1" ht="20.25">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75"/>
        <v/>
      </c>
      <c r="T542" s="225" t="str">
        <f ca="1">IF(B542="","",IF(ISERROR(MATCH($J542,SorP!$B$1:$B$6230,0)),"",INDIRECT("'SorP'!$A$"&amp;MATCH($J542,SorP!$B$1:$B$6230,0))))</f>
        <v/>
      </c>
      <c r="U542" s="241"/>
      <c r="V542" s="275" t="e">
        <f>IF(C542="",NA(),MATCH($B542&amp;$C542,'Smelter Look-up'!$J:$J,0))</f>
        <v>#N/A</v>
      </c>
      <c r="W542" s="276"/>
      <c r="X542" s="276">
        <f t="shared" ca="1" si="76"/>
        <v>0</v>
      </c>
      <c r="Y542" s="276"/>
      <c r="Z542" s="276"/>
      <c r="AB542" s="278" t="str">
        <f t="shared" si="77"/>
        <v/>
      </c>
    </row>
    <row r="543" spans="1:28" s="277" customFormat="1" ht="20.25">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75"/>
        <v/>
      </c>
      <c r="T543" s="225" t="str">
        <f ca="1">IF(B543="","",IF(ISERROR(MATCH($J543,SorP!$B$1:$B$6230,0)),"",INDIRECT("'SorP'!$A$"&amp;MATCH($J543,SorP!$B$1:$B$6230,0))))</f>
        <v/>
      </c>
      <c r="U543" s="241"/>
      <c r="V543" s="275" t="e">
        <f>IF(C543="",NA(),MATCH($B543&amp;$C543,'Smelter Look-up'!$J:$J,0))</f>
        <v>#N/A</v>
      </c>
      <c r="W543" s="276"/>
      <c r="X543" s="276">
        <f t="shared" ca="1" si="76"/>
        <v>0</v>
      </c>
      <c r="Y543" s="276"/>
      <c r="Z543" s="276"/>
      <c r="AB543" s="278" t="str">
        <f t="shared" si="77"/>
        <v/>
      </c>
    </row>
    <row r="544" spans="1:28" s="277" customFormat="1" ht="20.25">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75"/>
        <v/>
      </c>
      <c r="T544" s="225" t="str">
        <f ca="1">IF(B544="","",IF(ISERROR(MATCH($J544,SorP!$B$1:$B$6230,0)),"",INDIRECT("'SorP'!$A$"&amp;MATCH($J544,SorP!$B$1:$B$6230,0))))</f>
        <v/>
      </c>
      <c r="U544" s="241"/>
      <c r="V544" s="275" t="e">
        <f>IF(C544="",NA(),MATCH($B544&amp;$C544,'Smelter Look-up'!$J:$J,0))</f>
        <v>#N/A</v>
      </c>
      <c r="W544" s="276"/>
      <c r="X544" s="276">
        <f t="shared" ca="1" si="76"/>
        <v>0</v>
      </c>
      <c r="Y544" s="276"/>
      <c r="Z544" s="276"/>
      <c r="AB544" s="278" t="str">
        <f t="shared" si="77"/>
        <v/>
      </c>
    </row>
    <row r="545" spans="1:28" s="277" customFormat="1" ht="20.25">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75"/>
        <v/>
      </c>
      <c r="T545" s="225" t="str">
        <f ca="1">IF(B545="","",IF(ISERROR(MATCH($J545,SorP!$B$1:$B$6230,0)),"",INDIRECT("'SorP'!$A$"&amp;MATCH($J545,SorP!$B$1:$B$6230,0))))</f>
        <v/>
      </c>
      <c r="U545" s="241"/>
      <c r="V545" s="275" t="e">
        <f>IF(C545="",NA(),MATCH($B545&amp;$C545,'Smelter Look-up'!$J:$J,0))</f>
        <v>#N/A</v>
      </c>
      <c r="W545" s="276"/>
      <c r="X545" s="276">
        <f t="shared" ca="1" si="76"/>
        <v>0</v>
      </c>
      <c r="Y545" s="276"/>
      <c r="Z545" s="276"/>
      <c r="AB545" s="278" t="str">
        <f t="shared" si="77"/>
        <v/>
      </c>
    </row>
    <row r="546" spans="1:28" s="277" customFormat="1" ht="20.25">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75"/>
        <v/>
      </c>
      <c r="T546" s="225" t="str">
        <f ca="1">IF(B546="","",IF(ISERROR(MATCH($J546,SorP!$B$1:$B$6230,0)),"",INDIRECT("'SorP'!$A$"&amp;MATCH($J546,SorP!$B$1:$B$6230,0))))</f>
        <v/>
      </c>
      <c r="U546" s="241"/>
      <c r="V546" s="275" t="e">
        <f>IF(C546="",NA(),MATCH($B546&amp;$C546,'Smelter Look-up'!$J:$J,0))</f>
        <v>#N/A</v>
      </c>
      <c r="W546" s="276"/>
      <c r="X546" s="276">
        <f t="shared" ca="1" si="76"/>
        <v>0</v>
      </c>
      <c r="Y546" s="276"/>
      <c r="Z546" s="276"/>
      <c r="AB546" s="278" t="str">
        <f t="shared" si="77"/>
        <v/>
      </c>
    </row>
    <row r="547" spans="1:28" s="277" customFormat="1" ht="20.25">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75"/>
        <v/>
      </c>
      <c r="T547" s="225" t="str">
        <f ca="1">IF(B547="","",IF(ISERROR(MATCH($J547,SorP!$B$1:$B$6230,0)),"",INDIRECT("'SorP'!$A$"&amp;MATCH($J547,SorP!$B$1:$B$6230,0))))</f>
        <v/>
      </c>
      <c r="U547" s="241"/>
      <c r="V547" s="275" t="e">
        <f>IF(C547="",NA(),MATCH($B547&amp;$C547,'Smelter Look-up'!$J:$J,0))</f>
        <v>#N/A</v>
      </c>
      <c r="W547" s="276"/>
      <c r="X547" s="276">
        <f t="shared" ca="1" si="76"/>
        <v>0</v>
      </c>
      <c r="Y547" s="276"/>
      <c r="Z547" s="276"/>
      <c r="AB547" s="278" t="str">
        <f t="shared" si="77"/>
        <v/>
      </c>
    </row>
    <row r="548" spans="1:28" s="277" customFormat="1" ht="20.25">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75"/>
        <v/>
      </c>
      <c r="T548" s="225" t="str">
        <f ca="1">IF(B548="","",IF(ISERROR(MATCH($J548,SorP!$B$1:$B$6230,0)),"",INDIRECT("'SorP'!$A$"&amp;MATCH($J548,SorP!$B$1:$B$6230,0))))</f>
        <v/>
      </c>
      <c r="U548" s="241"/>
      <c r="V548" s="275" t="e">
        <f>IF(C548="",NA(),MATCH($B548&amp;$C548,'Smelter Look-up'!$J:$J,0))</f>
        <v>#N/A</v>
      </c>
      <c r="W548" s="276"/>
      <c r="X548" s="276">
        <f t="shared" ca="1" si="76"/>
        <v>0</v>
      </c>
      <c r="Y548" s="276"/>
      <c r="Z548" s="276"/>
      <c r="AB548" s="278" t="str">
        <f t="shared" si="77"/>
        <v/>
      </c>
    </row>
    <row r="549" spans="1:28" s="277" customFormat="1" ht="20.25">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ca="1" si="75"/>
        <v/>
      </c>
      <c r="T549" s="225" t="str">
        <f ca="1">IF(B549="","",IF(ISERROR(MATCH($J549,SorP!$B$1:$B$6230,0)),"",INDIRECT("'SorP'!$A$"&amp;MATCH($J549,SorP!$B$1:$B$6230,0))))</f>
        <v/>
      </c>
      <c r="U549" s="241"/>
      <c r="V549" s="275" t="e">
        <f>IF(C549="",NA(),MATCH($B549&amp;$C549,'Smelter Look-up'!$J:$J,0))</f>
        <v>#N/A</v>
      </c>
      <c r="W549" s="276"/>
      <c r="X549" s="276">
        <f t="shared" ca="1" si="76"/>
        <v>0</v>
      </c>
      <c r="Y549" s="276"/>
      <c r="Z549" s="276"/>
      <c r="AB549" s="278" t="str">
        <f t="shared" si="77"/>
        <v/>
      </c>
    </row>
    <row r="550" spans="1:28" s="277" customFormat="1" ht="20.25">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ref="S550:S580" ca="1" si="78">IF(B550="","",IF(ISERROR(MATCH($E550,CL,0)),"Unknown",INDIRECT("'C'!$A$"&amp;MATCH($E550,CL,0)+1)))</f>
        <v/>
      </c>
      <c r="T550" s="225" t="str">
        <f ca="1">IF(B550="","",IF(ISERROR(MATCH($J550,SorP!$B$1:$B$6230,0)),"",INDIRECT("'SorP'!$A$"&amp;MATCH($J550,SorP!$B$1:$B$6230,0))))</f>
        <v/>
      </c>
      <c r="U550" s="241"/>
      <c r="V550" s="275" t="e">
        <f>IF(C550="",NA(),MATCH($B550&amp;$C550,'Smelter Look-up'!$J:$J,0))</f>
        <v>#N/A</v>
      </c>
      <c r="W550" s="276"/>
      <c r="X550" s="276">
        <f t="shared" ref="X550:X580" ca="1" si="79">IF(AND(C550="Smelter not listed",OR(LEN(D550)=0,LEN(E550)=0)),1,0)</f>
        <v>0</v>
      </c>
      <c r="Y550" s="276"/>
      <c r="Z550" s="276"/>
      <c r="AB550" s="278" t="str">
        <f t="shared" ref="AB550:AB580" si="80">B550&amp;C550</f>
        <v/>
      </c>
    </row>
    <row r="551" spans="1:28" s="277" customFormat="1" ht="20.25">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78"/>
        <v/>
      </c>
      <c r="T551" s="225" t="str">
        <f ca="1">IF(B551="","",IF(ISERROR(MATCH($J551,SorP!$B$1:$B$6230,0)),"",INDIRECT("'SorP'!$A$"&amp;MATCH($J551,SorP!$B$1:$B$6230,0))))</f>
        <v/>
      </c>
      <c r="U551" s="241"/>
      <c r="V551" s="275" t="e">
        <f>IF(C551="",NA(),MATCH($B551&amp;$C551,'Smelter Look-up'!$J:$J,0))</f>
        <v>#N/A</v>
      </c>
      <c r="W551" s="276"/>
      <c r="X551" s="276">
        <f t="shared" ca="1" si="79"/>
        <v>0</v>
      </c>
      <c r="Y551" s="276"/>
      <c r="Z551" s="276"/>
      <c r="AB551" s="278" t="str">
        <f t="shared" si="80"/>
        <v/>
      </c>
    </row>
    <row r="552" spans="1:28" s="277" customFormat="1" ht="20.25">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78"/>
        <v/>
      </c>
      <c r="T552" s="225" t="str">
        <f ca="1">IF(B552="","",IF(ISERROR(MATCH($J552,SorP!$B$1:$B$6230,0)),"",INDIRECT("'SorP'!$A$"&amp;MATCH($J552,SorP!$B$1:$B$6230,0))))</f>
        <v/>
      </c>
      <c r="U552" s="241"/>
      <c r="V552" s="275" t="e">
        <f>IF(C552="",NA(),MATCH($B552&amp;$C552,'Smelter Look-up'!$J:$J,0))</f>
        <v>#N/A</v>
      </c>
      <c r="W552" s="276"/>
      <c r="X552" s="276">
        <f t="shared" ca="1" si="79"/>
        <v>0</v>
      </c>
      <c r="Y552" s="276"/>
      <c r="Z552" s="276"/>
      <c r="AB552" s="278" t="str">
        <f t="shared" si="80"/>
        <v/>
      </c>
    </row>
    <row r="553" spans="1:28" s="277" customFormat="1" ht="20.25">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78"/>
        <v/>
      </c>
      <c r="T553" s="225" t="str">
        <f ca="1">IF(B553="","",IF(ISERROR(MATCH($J553,SorP!$B$1:$B$6230,0)),"",INDIRECT("'SorP'!$A$"&amp;MATCH($J553,SorP!$B$1:$B$6230,0))))</f>
        <v/>
      </c>
      <c r="U553" s="241"/>
      <c r="V553" s="275" t="e">
        <f>IF(C553="",NA(),MATCH($B553&amp;$C553,'Smelter Look-up'!$J:$J,0))</f>
        <v>#N/A</v>
      </c>
      <c r="W553" s="276"/>
      <c r="X553" s="276">
        <f t="shared" ca="1" si="79"/>
        <v>0</v>
      </c>
      <c r="Y553" s="276"/>
      <c r="Z553" s="276"/>
      <c r="AB553" s="278" t="str">
        <f t="shared" si="80"/>
        <v/>
      </c>
    </row>
    <row r="554" spans="1:28" s="277" customFormat="1" ht="20.25">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78"/>
        <v/>
      </c>
      <c r="T554" s="225" t="str">
        <f ca="1">IF(B554="","",IF(ISERROR(MATCH($J554,SorP!$B$1:$B$6230,0)),"",INDIRECT("'SorP'!$A$"&amp;MATCH($J554,SorP!$B$1:$B$6230,0))))</f>
        <v/>
      </c>
      <c r="U554" s="241"/>
      <c r="V554" s="275" t="e">
        <f>IF(C554="",NA(),MATCH($B554&amp;$C554,'Smelter Look-up'!$J:$J,0))</f>
        <v>#N/A</v>
      </c>
      <c r="W554" s="276"/>
      <c r="X554" s="276">
        <f t="shared" ca="1" si="79"/>
        <v>0</v>
      </c>
      <c r="Y554" s="276"/>
      <c r="Z554" s="276"/>
      <c r="AB554" s="278" t="str">
        <f t="shared" si="80"/>
        <v/>
      </c>
    </row>
    <row r="555" spans="1:28" s="277" customFormat="1" ht="20.25">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78"/>
        <v/>
      </c>
      <c r="T555" s="225" t="str">
        <f ca="1">IF(B555="","",IF(ISERROR(MATCH($J555,SorP!$B$1:$B$6230,0)),"",INDIRECT("'SorP'!$A$"&amp;MATCH($J555,SorP!$B$1:$B$6230,0))))</f>
        <v/>
      </c>
      <c r="U555" s="241"/>
      <c r="V555" s="275" t="e">
        <f>IF(C555="",NA(),MATCH($B555&amp;$C555,'Smelter Look-up'!$J:$J,0))</f>
        <v>#N/A</v>
      </c>
      <c r="W555" s="276"/>
      <c r="X555" s="276">
        <f t="shared" ca="1" si="79"/>
        <v>0</v>
      </c>
      <c r="Y555" s="276"/>
      <c r="Z555" s="276"/>
      <c r="AB555" s="278" t="str">
        <f t="shared" si="80"/>
        <v/>
      </c>
    </row>
    <row r="556" spans="1:28" s="277" customFormat="1" ht="20.25">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78"/>
        <v/>
      </c>
      <c r="T556" s="225" t="str">
        <f ca="1">IF(B556="","",IF(ISERROR(MATCH($J556,SorP!$B$1:$B$6230,0)),"",INDIRECT("'SorP'!$A$"&amp;MATCH($J556,SorP!$B$1:$B$6230,0))))</f>
        <v/>
      </c>
      <c r="U556" s="241"/>
      <c r="V556" s="275" t="e">
        <f>IF(C556="",NA(),MATCH($B556&amp;$C556,'Smelter Look-up'!$J:$J,0))</f>
        <v>#N/A</v>
      </c>
      <c r="W556" s="276"/>
      <c r="X556" s="276">
        <f t="shared" ca="1" si="79"/>
        <v>0</v>
      </c>
      <c r="Y556" s="276"/>
      <c r="Z556" s="276"/>
      <c r="AB556" s="278" t="str">
        <f t="shared" si="80"/>
        <v/>
      </c>
    </row>
    <row r="557" spans="1:28" s="277" customFormat="1" ht="20.25">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78"/>
        <v/>
      </c>
      <c r="T557" s="225" t="str">
        <f ca="1">IF(B557="","",IF(ISERROR(MATCH($J557,SorP!$B$1:$B$6230,0)),"",INDIRECT("'SorP'!$A$"&amp;MATCH($J557,SorP!$B$1:$B$6230,0))))</f>
        <v/>
      </c>
      <c r="U557" s="241"/>
      <c r="V557" s="275" t="e">
        <f>IF(C557="",NA(),MATCH($B557&amp;$C557,'Smelter Look-up'!$J:$J,0))</f>
        <v>#N/A</v>
      </c>
      <c r="W557" s="276"/>
      <c r="X557" s="276">
        <f t="shared" ca="1" si="79"/>
        <v>0</v>
      </c>
      <c r="Y557" s="276"/>
      <c r="Z557" s="276"/>
      <c r="AB557" s="278" t="str">
        <f t="shared" si="80"/>
        <v/>
      </c>
    </row>
    <row r="558" spans="1:28" s="277" customFormat="1" ht="20.25">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78"/>
        <v/>
      </c>
      <c r="T558" s="225" t="str">
        <f ca="1">IF(B558="","",IF(ISERROR(MATCH($J558,SorP!$B$1:$B$6230,0)),"",INDIRECT("'SorP'!$A$"&amp;MATCH($J558,SorP!$B$1:$B$6230,0))))</f>
        <v/>
      </c>
      <c r="U558" s="241"/>
      <c r="V558" s="275" t="e">
        <f>IF(C558="",NA(),MATCH($B558&amp;$C558,'Smelter Look-up'!$J:$J,0))</f>
        <v>#N/A</v>
      </c>
      <c r="W558" s="276"/>
      <c r="X558" s="276">
        <f t="shared" ca="1" si="79"/>
        <v>0</v>
      </c>
      <c r="Y558" s="276"/>
      <c r="Z558" s="276"/>
      <c r="AB558" s="278" t="str">
        <f t="shared" si="80"/>
        <v/>
      </c>
    </row>
    <row r="559" spans="1:28" s="277" customFormat="1" ht="20.25">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ca="1" si="78"/>
        <v/>
      </c>
      <c r="T559" s="225" t="str">
        <f ca="1">IF(B559="","",IF(ISERROR(MATCH($J559,SorP!$B$1:$B$6230,0)),"",INDIRECT("'SorP'!$A$"&amp;MATCH($J559,SorP!$B$1:$B$6230,0))))</f>
        <v/>
      </c>
      <c r="U559" s="241"/>
      <c r="V559" s="275" t="e">
        <f>IF(C559="",NA(),MATCH($B559&amp;$C559,'Smelter Look-up'!$J:$J,0))</f>
        <v>#N/A</v>
      </c>
      <c r="W559" s="276"/>
      <c r="X559" s="276">
        <f t="shared" ca="1" si="79"/>
        <v>0</v>
      </c>
      <c r="Y559" s="276"/>
      <c r="Z559" s="276"/>
      <c r="AB559" s="278" t="str">
        <f t="shared" si="80"/>
        <v/>
      </c>
    </row>
    <row r="560" spans="1:28" s="277" customFormat="1" ht="20.25">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ca="1" si="78"/>
        <v/>
      </c>
      <c r="T560" s="225" t="str">
        <f ca="1">IF(B560="","",IF(ISERROR(MATCH($J560,SorP!$B$1:$B$6230,0)),"",INDIRECT("'SorP'!$A$"&amp;MATCH($J560,SorP!$B$1:$B$6230,0))))</f>
        <v/>
      </c>
      <c r="U560" s="241"/>
      <c r="V560" s="275" t="e">
        <f>IF(C560="",NA(),MATCH($B560&amp;$C560,'Smelter Look-up'!$J:$J,0))</f>
        <v>#N/A</v>
      </c>
      <c r="W560" s="276"/>
      <c r="X560" s="276">
        <f t="shared" ca="1" si="79"/>
        <v>0</v>
      </c>
      <c r="Y560" s="276"/>
      <c r="Z560" s="276"/>
      <c r="AB560" s="278" t="str">
        <f t="shared" si="80"/>
        <v/>
      </c>
    </row>
    <row r="561" spans="1:28" s="277" customFormat="1" ht="20.25">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78"/>
        <v/>
      </c>
      <c r="T561" s="225" t="str">
        <f ca="1">IF(B561="","",IF(ISERROR(MATCH($J561,SorP!$B$1:$B$6230,0)),"",INDIRECT("'SorP'!$A$"&amp;MATCH($J561,SorP!$B$1:$B$6230,0))))</f>
        <v/>
      </c>
      <c r="U561" s="241"/>
      <c r="V561" s="275" t="e">
        <f>IF(C561="",NA(),MATCH($B561&amp;$C561,'Smelter Look-up'!$J:$J,0))</f>
        <v>#N/A</v>
      </c>
      <c r="W561" s="276"/>
      <c r="X561" s="276">
        <f t="shared" ca="1" si="79"/>
        <v>0</v>
      </c>
      <c r="Y561" s="276"/>
      <c r="Z561" s="276"/>
      <c r="AB561" s="278" t="str">
        <f t="shared" si="80"/>
        <v/>
      </c>
    </row>
    <row r="562" spans="1:28" s="277" customFormat="1" ht="20.25">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78"/>
        <v/>
      </c>
      <c r="T562" s="225" t="str">
        <f ca="1">IF(B562="","",IF(ISERROR(MATCH($J562,SorP!$B$1:$B$6230,0)),"",INDIRECT("'SorP'!$A$"&amp;MATCH($J562,SorP!$B$1:$B$6230,0))))</f>
        <v/>
      </c>
      <c r="U562" s="241"/>
      <c r="V562" s="275" t="e">
        <f>IF(C562="",NA(),MATCH($B562&amp;$C562,'Smelter Look-up'!$J:$J,0))</f>
        <v>#N/A</v>
      </c>
      <c r="W562" s="276"/>
      <c r="X562" s="276">
        <f t="shared" ca="1" si="79"/>
        <v>0</v>
      </c>
      <c r="Y562" s="276"/>
      <c r="Z562" s="276"/>
      <c r="AB562" s="278" t="str">
        <f t="shared" si="80"/>
        <v/>
      </c>
    </row>
    <row r="563" spans="1:28" s="277" customFormat="1" ht="20.25">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78"/>
        <v/>
      </c>
      <c r="T563" s="225" t="str">
        <f ca="1">IF(B563="","",IF(ISERROR(MATCH($J563,SorP!$B$1:$B$6230,0)),"",INDIRECT("'SorP'!$A$"&amp;MATCH($J563,SorP!$B$1:$B$6230,0))))</f>
        <v/>
      </c>
      <c r="U563" s="241"/>
      <c r="V563" s="275" t="e">
        <f>IF(C563="",NA(),MATCH($B563&amp;$C563,'Smelter Look-up'!$J:$J,0))</f>
        <v>#N/A</v>
      </c>
      <c r="W563" s="276"/>
      <c r="X563" s="276">
        <f t="shared" ca="1" si="79"/>
        <v>0</v>
      </c>
      <c r="Y563" s="276"/>
      <c r="Z563" s="276"/>
      <c r="AB563" s="278" t="str">
        <f t="shared" si="80"/>
        <v/>
      </c>
    </row>
    <row r="564" spans="1:28" s="277" customFormat="1" ht="20.25">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78"/>
        <v/>
      </c>
      <c r="T564" s="225" t="str">
        <f ca="1">IF(B564="","",IF(ISERROR(MATCH($J564,SorP!$B$1:$B$6230,0)),"",INDIRECT("'SorP'!$A$"&amp;MATCH($J564,SorP!$B$1:$B$6230,0))))</f>
        <v/>
      </c>
      <c r="U564" s="241"/>
      <c r="V564" s="275" t="e">
        <f>IF(C564="",NA(),MATCH($B564&amp;$C564,'Smelter Look-up'!$J:$J,0))</f>
        <v>#N/A</v>
      </c>
      <c r="W564" s="276"/>
      <c r="X564" s="276">
        <f t="shared" ca="1" si="79"/>
        <v>0</v>
      </c>
      <c r="Y564" s="276"/>
      <c r="Z564" s="276"/>
      <c r="AB564" s="278" t="str">
        <f t="shared" si="80"/>
        <v/>
      </c>
    </row>
    <row r="565" spans="1:28" s="277" customFormat="1" ht="20.25">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78"/>
        <v/>
      </c>
      <c r="T565" s="225" t="str">
        <f ca="1">IF(B565="","",IF(ISERROR(MATCH($J565,SorP!$B$1:$B$6230,0)),"",INDIRECT("'SorP'!$A$"&amp;MATCH($J565,SorP!$B$1:$B$6230,0))))</f>
        <v/>
      </c>
      <c r="U565" s="241"/>
      <c r="V565" s="275" t="e">
        <f>IF(C565="",NA(),MATCH($B565&amp;$C565,'Smelter Look-up'!$J:$J,0))</f>
        <v>#N/A</v>
      </c>
      <c r="W565" s="276"/>
      <c r="X565" s="276">
        <f t="shared" ca="1" si="79"/>
        <v>0</v>
      </c>
      <c r="Y565" s="276"/>
      <c r="Z565" s="276"/>
      <c r="AB565" s="278" t="str">
        <f t="shared" si="80"/>
        <v/>
      </c>
    </row>
    <row r="566" spans="1:28" s="277" customFormat="1" ht="20.25">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78"/>
        <v/>
      </c>
      <c r="T566" s="225" t="str">
        <f ca="1">IF(B566="","",IF(ISERROR(MATCH($J566,SorP!$B$1:$B$6230,0)),"",INDIRECT("'SorP'!$A$"&amp;MATCH($J566,SorP!$B$1:$B$6230,0))))</f>
        <v/>
      </c>
      <c r="U566" s="241"/>
      <c r="V566" s="275" t="e">
        <f>IF(C566="",NA(),MATCH($B566&amp;$C566,'Smelter Look-up'!$J:$J,0))</f>
        <v>#N/A</v>
      </c>
      <c r="W566" s="276"/>
      <c r="X566" s="276">
        <f t="shared" ca="1" si="79"/>
        <v>0</v>
      </c>
      <c r="Y566" s="276"/>
      <c r="Z566" s="276"/>
      <c r="AB566" s="278" t="str">
        <f t="shared" si="80"/>
        <v/>
      </c>
    </row>
    <row r="567" spans="1:28" s="277" customFormat="1" ht="20.25">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78"/>
        <v/>
      </c>
      <c r="T567" s="225" t="str">
        <f ca="1">IF(B567="","",IF(ISERROR(MATCH($J567,SorP!$B$1:$B$6230,0)),"",INDIRECT("'SorP'!$A$"&amp;MATCH($J567,SorP!$B$1:$B$6230,0))))</f>
        <v/>
      </c>
      <c r="U567" s="241"/>
      <c r="V567" s="275" t="e">
        <f>IF(C567="",NA(),MATCH($B567&amp;$C567,'Smelter Look-up'!$J:$J,0))</f>
        <v>#N/A</v>
      </c>
      <c r="W567" s="276"/>
      <c r="X567" s="276">
        <f t="shared" ca="1" si="79"/>
        <v>0</v>
      </c>
      <c r="Y567" s="276"/>
      <c r="Z567" s="276"/>
      <c r="AB567" s="278" t="str">
        <f t="shared" si="80"/>
        <v/>
      </c>
    </row>
    <row r="568" spans="1:28" s="277" customFormat="1" ht="20.25">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78"/>
        <v/>
      </c>
      <c r="T568" s="225" t="str">
        <f ca="1">IF(B568="","",IF(ISERROR(MATCH($J568,SorP!$B$1:$B$6230,0)),"",INDIRECT("'SorP'!$A$"&amp;MATCH($J568,SorP!$B$1:$B$6230,0))))</f>
        <v/>
      </c>
      <c r="U568" s="241"/>
      <c r="V568" s="275" t="e">
        <f>IF(C568="",NA(),MATCH($B568&amp;$C568,'Smelter Look-up'!$J:$J,0))</f>
        <v>#N/A</v>
      </c>
      <c r="W568" s="276"/>
      <c r="X568" s="276">
        <f t="shared" ca="1" si="79"/>
        <v>0</v>
      </c>
      <c r="Y568" s="276"/>
      <c r="Z568" s="276"/>
      <c r="AB568" s="278" t="str">
        <f t="shared" si="80"/>
        <v/>
      </c>
    </row>
    <row r="569" spans="1:28" s="277" customFormat="1" ht="20.25">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78"/>
        <v/>
      </c>
      <c r="T569" s="225" t="str">
        <f ca="1">IF(B569="","",IF(ISERROR(MATCH($J569,SorP!$B$1:$B$6230,0)),"",INDIRECT("'SorP'!$A$"&amp;MATCH($J569,SorP!$B$1:$B$6230,0))))</f>
        <v/>
      </c>
      <c r="U569" s="241"/>
      <c r="V569" s="275" t="e">
        <f>IF(C569="",NA(),MATCH($B569&amp;$C569,'Smelter Look-up'!$J:$J,0))</f>
        <v>#N/A</v>
      </c>
      <c r="W569" s="276"/>
      <c r="X569" s="276">
        <f t="shared" ca="1" si="79"/>
        <v>0</v>
      </c>
      <c r="Y569" s="276"/>
      <c r="Z569" s="276"/>
      <c r="AB569" s="278" t="str">
        <f t="shared" si="80"/>
        <v/>
      </c>
    </row>
    <row r="570" spans="1:28" s="277" customFormat="1" ht="20.25">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78"/>
        <v/>
      </c>
      <c r="T570" s="225" t="str">
        <f ca="1">IF(B570="","",IF(ISERROR(MATCH($J570,SorP!$B$1:$B$6230,0)),"",INDIRECT("'SorP'!$A$"&amp;MATCH($J570,SorP!$B$1:$B$6230,0))))</f>
        <v/>
      </c>
      <c r="U570" s="241"/>
      <c r="V570" s="275" t="e">
        <f>IF(C570="",NA(),MATCH($B570&amp;$C570,'Smelter Look-up'!$J:$J,0))</f>
        <v>#N/A</v>
      </c>
      <c r="W570" s="276"/>
      <c r="X570" s="276">
        <f t="shared" ca="1" si="79"/>
        <v>0</v>
      </c>
      <c r="Y570" s="276"/>
      <c r="Z570" s="276"/>
      <c r="AB570" s="278" t="str">
        <f t="shared" si="80"/>
        <v/>
      </c>
    </row>
    <row r="571" spans="1:28" s="277" customFormat="1" ht="20.25">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ca="1" si="78"/>
        <v/>
      </c>
      <c r="T571" s="225" t="str">
        <f ca="1">IF(B571="","",IF(ISERROR(MATCH($J571,SorP!$B$1:$B$6230,0)),"",INDIRECT("'SorP'!$A$"&amp;MATCH($J571,SorP!$B$1:$B$6230,0))))</f>
        <v/>
      </c>
      <c r="U571" s="241"/>
      <c r="V571" s="275" t="e">
        <f>IF(C571="",NA(),MATCH($B571&amp;$C571,'Smelter Look-up'!$J:$J,0))</f>
        <v>#N/A</v>
      </c>
      <c r="W571" s="276"/>
      <c r="X571" s="276">
        <f t="shared" ca="1" si="79"/>
        <v>0</v>
      </c>
      <c r="Y571" s="276"/>
      <c r="Z571" s="276"/>
      <c r="AB571" s="278" t="str">
        <f t="shared" si="80"/>
        <v/>
      </c>
    </row>
    <row r="572" spans="1:28" s="277" customFormat="1" ht="20.25">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t="shared" ca="1" si="78"/>
        <v/>
      </c>
      <c r="T572" s="225" t="str">
        <f ca="1">IF(B572="","",IF(ISERROR(MATCH($J572,SorP!$B$1:$B$6230,0)),"",INDIRECT("'SorP'!$A$"&amp;MATCH($J572,SorP!$B$1:$B$6230,0))))</f>
        <v/>
      </c>
      <c r="U572" s="241"/>
      <c r="V572" s="275" t="e">
        <f>IF(C572="",NA(),MATCH($B572&amp;$C572,'Smelter Look-up'!$J:$J,0))</f>
        <v>#N/A</v>
      </c>
      <c r="W572" s="276"/>
      <c r="X572" s="276">
        <f t="shared" ca="1" si="79"/>
        <v>0</v>
      </c>
      <c r="Y572" s="276"/>
      <c r="Z572" s="276"/>
      <c r="AB572" s="278" t="str">
        <f t="shared" si="80"/>
        <v/>
      </c>
    </row>
    <row r="573" spans="1:28" s="277" customFormat="1" ht="20.25">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t="shared" ca="1" si="78"/>
        <v/>
      </c>
      <c r="T573" s="225" t="str">
        <f ca="1">IF(B573="","",IF(ISERROR(MATCH($J573,SorP!$B$1:$B$6230,0)),"",INDIRECT("'SorP'!$A$"&amp;MATCH($J573,SorP!$B$1:$B$6230,0))))</f>
        <v/>
      </c>
      <c r="U573" s="241"/>
      <c r="V573" s="275" t="e">
        <f>IF(C573="",NA(),MATCH($B573&amp;$C573,'Smelter Look-up'!$J:$J,0))</f>
        <v>#N/A</v>
      </c>
      <c r="W573" s="276"/>
      <c r="X573" s="276">
        <f t="shared" ca="1" si="79"/>
        <v>0</v>
      </c>
      <c r="Y573" s="276"/>
      <c r="Z573" s="276"/>
      <c r="AB573" s="278" t="str">
        <f t="shared" si="80"/>
        <v/>
      </c>
    </row>
    <row r="574" spans="1:28" s="277" customFormat="1" ht="20.25">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t="shared" ca="1" si="78"/>
        <v/>
      </c>
      <c r="T574" s="225" t="str">
        <f ca="1">IF(B574="","",IF(ISERROR(MATCH($J574,SorP!$B$1:$B$6230,0)),"",INDIRECT("'SorP'!$A$"&amp;MATCH($J574,SorP!$B$1:$B$6230,0))))</f>
        <v/>
      </c>
      <c r="U574" s="241"/>
      <c r="V574" s="275" t="e">
        <f>IF(C574="",NA(),MATCH($B574&amp;$C574,'Smelter Look-up'!$J:$J,0))</f>
        <v>#N/A</v>
      </c>
      <c r="W574" s="276"/>
      <c r="X574" s="276">
        <f t="shared" ca="1" si="79"/>
        <v>0</v>
      </c>
      <c r="Y574" s="276"/>
      <c r="Z574" s="276"/>
      <c r="AB574" s="278" t="str">
        <f t="shared" si="80"/>
        <v/>
      </c>
    </row>
    <row r="575" spans="1:28" s="277" customFormat="1" ht="20.25">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t="shared" ca="1" si="78"/>
        <v/>
      </c>
      <c r="T575" s="225" t="str">
        <f ca="1">IF(B575="","",IF(ISERROR(MATCH($J575,SorP!$B$1:$B$6230,0)),"",INDIRECT("'SorP'!$A$"&amp;MATCH($J575,SorP!$B$1:$B$6230,0))))</f>
        <v/>
      </c>
      <c r="U575" s="241"/>
      <c r="V575" s="275" t="e">
        <f>IF(C575="",NA(),MATCH($B575&amp;$C575,'Smelter Look-up'!$J:$J,0))</f>
        <v>#N/A</v>
      </c>
      <c r="W575" s="276"/>
      <c r="X575" s="276">
        <f t="shared" ca="1" si="79"/>
        <v>0</v>
      </c>
      <c r="Y575" s="276"/>
      <c r="Z575" s="276"/>
      <c r="AB575" s="278" t="str">
        <f t="shared" si="80"/>
        <v/>
      </c>
    </row>
    <row r="576" spans="1:28" s="277" customFormat="1" ht="20.25">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ca="1" si="78"/>
        <v/>
      </c>
      <c r="T576" s="225" t="str">
        <f ca="1">IF(B576="","",IF(ISERROR(MATCH($J576,SorP!$B$1:$B$6230,0)),"",INDIRECT("'SorP'!$A$"&amp;MATCH($J576,SorP!$B$1:$B$6230,0))))</f>
        <v/>
      </c>
      <c r="U576" s="241"/>
      <c r="V576" s="275" t="e">
        <f>IF(C576="",NA(),MATCH($B576&amp;$C576,'Smelter Look-up'!$J:$J,0))</f>
        <v>#N/A</v>
      </c>
      <c r="W576" s="276"/>
      <c r="X576" s="276">
        <f t="shared" ca="1" si="79"/>
        <v>0</v>
      </c>
      <c r="Y576" s="276"/>
      <c r="Z576" s="276"/>
      <c r="AB576" s="278" t="str">
        <f t="shared" si="80"/>
        <v/>
      </c>
    </row>
    <row r="577" spans="1:28" s="277" customFormat="1" ht="20.25">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ca="1" si="78"/>
        <v/>
      </c>
      <c r="T577" s="225" t="str">
        <f ca="1">IF(B577="","",IF(ISERROR(MATCH($J577,SorP!$B$1:$B$6230,0)),"",INDIRECT("'SorP'!$A$"&amp;MATCH($J577,SorP!$B$1:$B$6230,0))))</f>
        <v/>
      </c>
      <c r="U577" s="241"/>
      <c r="V577" s="275" t="e">
        <f>IF(C577="",NA(),MATCH($B577&amp;$C577,'Smelter Look-up'!$J:$J,0))</f>
        <v>#N/A</v>
      </c>
      <c r="W577" s="276"/>
      <c r="X577" s="276">
        <f t="shared" ca="1" si="79"/>
        <v>0</v>
      </c>
      <c r="Y577" s="276"/>
      <c r="Z577" s="276"/>
      <c r="AB577" s="278" t="str">
        <f t="shared" si="80"/>
        <v/>
      </c>
    </row>
    <row r="578" spans="1:28" s="277" customFormat="1" ht="20.25">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78"/>
        <v/>
      </c>
      <c r="T578" s="225" t="str">
        <f ca="1">IF(B578="","",IF(ISERROR(MATCH($J578,SorP!$B$1:$B$6230,0)),"",INDIRECT("'SorP'!$A$"&amp;MATCH($J578,SorP!$B$1:$B$6230,0))))</f>
        <v/>
      </c>
      <c r="U578" s="241"/>
      <c r="V578" s="275" t="e">
        <f>IF(C578="",NA(),MATCH($B578&amp;$C578,'Smelter Look-up'!$J:$J,0))</f>
        <v>#N/A</v>
      </c>
      <c r="W578" s="276"/>
      <c r="X578" s="276">
        <f t="shared" ca="1" si="79"/>
        <v>0</v>
      </c>
      <c r="Y578" s="276"/>
      <c r="Z578" s="276"/>
      <c r="AB578" s="278" t="str">
        <f t="shared" si="80"/>
        <v/>
      </c>
    </row>
    <row r="579" spans="1:28" s="277" customFormat="1" ht="20.25">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78"/>
        <v/>
      </c>
      <c r="T579" s="225" t="str">
        <f ca="1">IF(B579="","",IF(ISERROR(MATCH($J579,SorP!$B$1:$B$6230,0)),"",INDIRECT("'SorP'!$A$"&amp;MATCH($J579,SorP!$B$1:$B$6230,0))))</f>
        <v/>
      </c>
      <c r="U579" s="241"/>
      <c r="V579" s="275" t="e">
        <f>IF(C579="",NA(),MATCH($B579&amp;$C579,'Smelter Look-up'!$J:$J,0))</f>
        <v>#N/A</v>
      </c>
      <c r="W579" s="276"/>
      <c r="X579" s="276">
        <f t="shared" ca="1" si="79"/>
        <v>0</v>
      </c>
      <c r="Y579" s="276"/>
      <c r="Z579" s="276"/>
      <c r="AB579" s="278" t="str">
        <f t="shared" si="80"/>
        <v/>
      </c>
    </row>
    <row r="580" spans="1:28" s="277" customFormat="1" ht="20.25">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ca="1" si="78"/>
        <v/>
      </c>
      <c r="T580" s="225" t="str">
        <f ca="1">IF(B580="","",IF(ISERROR(MATCH($J580,SorP!$B$1:$B$6230,0)),"",INDIRECT("'SorP'!$A$"&amp;MATCH($J580,SorP!$B$1:$B$6230,0))))</f>
        <v/>
      </c>
      <c r="U580" s="241"/>
      <c r="V580" s="275" t="e">
        <f>IF(C580="",NA(),MATCH($B580&amp;$C580,'Smelter Look-up'!$J:$J,0))</f>
        <v>#N/A</v>
      </c>
      <c r="W580" s="276"/>
      <c r="X580" s="276">
        <f t="shared" ca="1" si="79"/>
        <v>0</v>
      </c>
      <c r="Y580" s="276"/>
      <c r="Z580" s="276"/>
      <c r="AB580" s="278" t="str">
        <f t="shared" si="80"/>
        <v/>
      </c>
    </row>
    <row r="581" spans="1:28" s="277" customFormat="1" ht="20.25">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t="shared" ref="S581" ca="1" si="81">IF(B581="","",IF(ISERROR(MATCH($E581,CL,0)),"Unknown",INDIRECT("'C'!$A$"&amp;MATCH($E581,CL,0)+1)))</f>
        <v/>
      </c>
      <c r="T581" s="225" t="str">
        <f ca="1">IF(B581="","",IF(ISERROR(MATCH($J581,SorP!$B$1:$B$6230,0)),"",INDIRECT("'SorP'!$A$"&amp;MATCH($J581,SorP!$B$1:$B$6230,0))))</f>
        <v/>
      </c>
      <c r="U581" s="241"/>
      <c r="V581" s="275" t="e">
        <f>IF(C581="",NA(),MATCH($B581&amp;$C581,'Smelter Look-up'!$J:$J,0))</f>
        <v>#N/A</v>
      </c>
      <c r="W581" s="276"/>
      <c r="X581" s="276">
        <f t="shared" ref="X581" ca="1" si="82">IF(AND(C581="Smelter not listed",OR(LEN(D581)=0,LEN(E581)=0)),1,0)</f>
        <v>0</v>
      </c>
      <c r="Y581" s="276"/>
      <c r="Z581" s="276"/>
      <c r="AB581" s="278" t="str">
        <f t="shared" ref="AB581" si="83">B581&amp;C581</f>
        <v/>
      </c>
    </row>
    <row r="582" spans="1:28" s="277" customFormat="1" ht="20.25">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ca="1">IF(B582="","",IF(ISERROR(MATCH($E582,CL,0)),"Unknown",INDIRECT("'C'!$A$"&amp;MATCH($E582,CL,0)+1)))</f>
        <v/>
      </c>
      <c r="T582" s="225" t="str">
        <f ca="1">IF(B582="","",IF(ISERROR(MATCH($J582,SorP!$B$1:$B$6230,0)),"",INDIRECT("'SorP'!$A$"&amp;MATCH($J582,SorP!$B$1:$B$6230,0))))</f>
        <v/>
      </c>
      <c r="U582" s="241"/>
      <c r="V582" s="275" t="e">
        <f>IF(C582="",NA(),MATCH($B582&amp;$C582,'Smelter Look-up'!$J:$J,0))</f>
        <v>#N/A</v>
      </c>
      <c r="W582" s="276"/>
      <c r="X582" s="276">
        <f ca="1">IF(AND(C582="Smelter not listed",OR(LEN(D582)=0,LEN(E582)=0)),1,0)</f>
        <v>0</v>
      </c>
      <c r="Y582" s="276"/>
      <c r="Z582" s="276"/>
      <c r="AB582" s="278" t="str">
        <f>B582&amp;C582</f>
        <v/>
      </c>
    </row>
    <row r="583" spans="1:28" s="277" customFormat="1" ht="20.25">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ca="1">IF(B583="","",IF(ISERROR(MATCH($E583,CL,0)),"Unknown",INDIRECT("'C'!$A$"&amp;MATCH($E583,CL,0)+1)))</f>
        <v/>
      </c>
      <c r="T583" s="225" t="str">
        <f ca="1">IF(B583="","",IF(ISERROR(MATCH($J583,SorP!$B$1:$B$6230,0)),"",INDIRECT("'SorP'!$A$"&amp;MATCH($J583,SorP!$B$1:$B$6230,0))))</f>
        <v/>
      </c>
      <c r="U583" s="241"/>
      <c r="V583" s="275" t="e">
        <f>IF(C583="",NA(),MATCH($B583&amp;$C583,'Smelter Look-up'!$J:$J,0))</f>
        <v>#N/A</v>
      </c>
      <c r="W583" s="276"/>
      <c r="X583" s="276">
        <f ca="1">IF(AND(C583="Smelter not listed",OR(LEN(D583)=0,LEN(E583)=0)),1,0)</f>
        <v>0</v>
      </c>
      <c r="Y583" s="276"/>
      <c r="Z583" s="276"/>
      <c r="AB583" s="278" t="str">
        <f>B583&amp;C583</f>
        <v/>
      </c>
    </row>
    <row r="584" spans="1:28" s="277" customFormat="1" ht="20.25">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ca="1">IF(B584="","",IF(ISERROR(MATCH($E584,CL,0)),"Unknown",INDIRECT("'C'!$A$"&amp;MATCH($E584,CL,0)+1)))</f>
        <v/>
      </c>
      <c r="T584" s="225" t="str">
        <f ca="1">IF(B584="","",IF(ISERROR(MATCH($J584,SorP!$B$1:$B$6230,0)),"",INDIRECT("'SorP'!$A$"&amp;MATCH($J584,SorP!$B$1:$B$6230,0))))</f>
        <v/>
      </c>
      <c r="U584" s="241"/>
      <c r="V584" s="275" t="e">
        <f>IF(C584="",NA(),MATCH($B584&amp;$C584,'Smelter Look-up'!$J:$J,0))</f>
        <v>#N/A</v>
      </c>
      <c r="W584" s="276"/>
      <c r="X584" s="276">
        <f ca="1">IF(AND(C584="Smelter not listed",OR(LEN(D584)=0,LEN(E584)=0)),1,0)</f>
        <v>0</v>
      </c>
      <c r="Y584" s="276"/>
      <c r="Z584" s="276"/>
      <c r="AB584" s="278" t="str">
        <f>B584&amp;C584</f>
        <v/>
      </c>
    </row>
    <row r="585" spans="1:28" s="277" customFormat="1" ht="20.25">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ca="1">IF(B585="","",IF(ISERROR(MATCH($E585,CL,0)),"Unknown",INDIRECT("'C'!$A$"&amp;MATCH($E585,CL,0)+1)))</f>
        <v/>
      </c>
      <c r="T585" s="225" t="str">
        <f ca="1">IF(B585="","",IF(ISERROR(MATCH($J585,SorP!$B$1:$B$6230,0)),"",INDIRECT("'SorP'!$A$"&amp;MATCH($J585,SorP!$B$1:$B$6230,0))))</f>
        <v/>
      </c>
      <c r="U585" s="241"/>
      <c r="V585" s="275" t="e">
        <f>IF(C585="",NA(),MATCH($B585&amp;$C585,'Smelter Look-up'!$J:$J,0))</f>
        <v>#N/A</v>
      </c>
      <c r="W585" s="276"/>
      <c r="X585" s="276">
        <f ca="1">IF(AND(C585="Smelter not listed",OR(LEN(D585)=0,LEN(E585)=0)),1,0)</f>
        <v>0</v>
      </c>
      <c r="Y585" s="276"/>
      <c r="Z585" s="276"/>
      <c r="AB585" s="278" t="str">
        <f>B585&amp;C585</f>
        <v/>
      </c>
    </row>
    <row r="586" spans="1:28" s="277" customFormat="1" ht="20.25">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ref="S586" ca="1" si="84">IF(B586="","",IF(ISERROR(MATCH($E586,CL,0)),"Unknown",INDIRECT("'C'!$A$"&amp;MATCH($E586,CL,0)+1)))</f>
        <v/>
      </c>
      <c r="T586" s="225" t="str">
        <f ca="1">IF(B586="","",IF(ISERROR(MATCH($J586,SorP!$B$1:$B$6230,0)),"",INDIRECT("'SorP'!$A$"&amp;MATCH($J586,SorP!$B$1:$B$6230,0))))</f>
        <v/>
      </c>
      <c r="U586" s="241"/>
      <c r="V586" s="275" t="e">
        <f>IF(C586="",NA(),MATCH($B586&amp;$C586,'Smelter Look-up'!$J:$J,0))</f>
        <v>#N/A</v>
      </c>
      <c r="W586" s="276"/>
      <c r="X586" s="276">
        <f t="shared" ref="X586" ca="1" si="85">IF(AND(C586="Smelter not listed",OR(LEN(D586)=0,LEN(E586)=0)),1,0)</f>
        <v>0</v>
      </c>
      <c r="Y586" s="276"/>
      <c r="Z586" s="276"/>
      <c r="AB586" s="278" t="str">
        <f t="shared" ref="AB586" si="86">B586&amp;C586</f>
        <v/>
      </c>
    </row>
    <row r="587" spans="1:28" s="277" customFormat="1" ht="20.25">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ref="S587:S634" ca="1" si="87">IF(B587="","",IF(ISERROR(MATCH($E587,CL,0)),"Unknown",INDIRECT("'C'!$A$"&amp;MATCH($E587,CL,0)+1)))</f>
        <v/>
      </c>
      <c r="T587" s="225" t="str">
        <f ca="1">IF(B587="","",IF(ISERROR(MATCH($J587,SorP!$B$1:$B$6230,0)),"",INDIRECT("'SorP'!$A$"&amp;MATCH($J587,SorP!$B$1:$B$6230,0))))</f>
        <v/>
      </c>
      <c r="U587" s="241"/>
      <c r="V587" s="275" t="e">
        <f>IF(C587="",NA(),MATCH($B587&amp;$C587,'Smelter Look-up'!$J:$J,0))</f>
        <v>#N/A</v>
      </c>
      <c r="W587" s="276"/>
      <c r="X587" s="276">
        <f t="shared" ref="X587:X634" ca="1" si="88">IF(AND(C587="Smelter not listed",OR(LEN(D587)=0,LEN(E587)=0)),1,0)</f>
        <v>0</v>
      </c>
      <c r="Y587" s="276"/>
      <c r="Z587" s="276"/>
      <c r="AB587" s="278" t="str">
        <f t="shared" ref="AB587:AB634" si="89">B587&amp;C587</f>
        <v/>
      </c>
    </row>
    <row r="588" spans="1:28" s="277" customFormat="1" ht="20.25">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87"/>
        <v/>
      </c>
      <c r="T588" s="225" t="str">
        <f ca="1">IF(B588="","",IF(ISERROR(MATCH($J588,SorP!$B$1:$B$6230,0)),"",INDIRECT("'SorP'!$A$"&amp;MATCH($J588,SorP!$B$1:$B$6230,0))))</f>
        <v/>
      </c>
      <c r="U588" s="241"/>
      <c r="V588" s="275" t="e">
        <f>IF(C588="",NA(),MATCH($B588&amp;$C588,'Smelter Look-up'!$J:$J,0))</f>
        <v>#N/A</v>
      </c>
      <c r="W588" s="276"/>
      <c r="X588" s="276">
        <f t="shared" ca="1" si="88"/>
        <v>0</v>
      </c>
      <c r="Y588" s="276"/>
      <c r="Z588" s="276"/>
      <c r="AB588" s="278" t="str">
        <f t="shared" si="89"/>
        <v/>
      </c>
    </row>
    <row r="589" spans="1:28" s="277" customFormat="1" ht="20.25">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87"/>
        <v/>
      </c>
      <c r="T589" s="225" t="str">
        <f ca="1">IF(B589="","",IF(ISERROR(MATCH($J589,SorP!$B$1:$B$6230,0)),"",INDIRECT("'SorP'!$A$"&amp;MATCH($J589,SorP!$B$1:$B$6230,0))))</f>
        <v/>
      </c>
      <c r="U589" s="241"/>
      <c r="V589" s="275" t="e">
        <f>IF(C589="",NA(),MATCH($B589&amp;$C589,'Smelter Look-up'!$J:$J,0))</f>
        <v>#N/A</v>
      </c>
      <c r="W589" s="276"/>
      <c r="X589" s="276">
        <f t="shared" ca="1" si="88"/>
        <v>0</v>
      </c>
      <c r="Y589" s="276"/>
      <c r="Z589" s="276"/>
      <c r="AB589" s="278" t="str">
        <f t="shared" si="89"/>
        <v/>
      </c>
    </row>
    <row r="590" spans="1:28" s="277" customFormat="1" ht="20.25">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87"/>
        <v/>
      </c>
      <c r="T590" s="225" t="str">
        <f ca="1">IF(B590="","",IF(ISERROR(MATCH($J590,SorP!$B$1:$B$6230,0)),"",INDIRECT("'SorP'!$A$"&amp;MATCH($J590,SorP!$B$1:$B$6230,0))))</f>
        <v/>
      </c>
      <c r="U590" s="241"/>
      <c r="V590" s="275" t="e">
        <f>IF(C590="",NA(),MATCH($B590&amp;$C590,'Smelter Look-up'!$J:$J,0))</f>
        <v>#N/A</v>
      </c>
      <c r="W590" s="276"/>
      <c r="X590" s="276">
        <f t="shared" ca="1" si="88"/>
        <v>0</v>
      </c>
      <c r="Y590" s="276"/>
      <c r="Z590" s="276"/>
      <c r="AB590" s="278" t="str">
        <f t="shared" si="89"/>
        <v/>
      </c>
    </row>
    <row r="591" spans="1:28" s="277" customFormat="1" ht="20.25">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87"/>
        <v/>
      </c>
      <c r="T591" s="225" t="str">
        <f ca="1">IF(B591="","",IF(ISERROR(MATCH($J591,SorP!$B$1:$B$6230,0)),"",INDIRECT("'SorP'!$A$"&amp;MATCH($J591,SorP!$B$1:$B$6230,0))))</f>
        <v/>
      </c>
      <c r="U591" s="241"/>
      <c r="V591" s="275" t="e">
        <f>IF(C591="",NA(),MATCH($B591&amp;$C591,'Smelter Look-up'!$J:$J,0))</f>
        <v>#N/A</v>
      </c>
      <c r="W591" s="276"/>
      <c r="X591" s="276">
        <f t="shared" ca="1" si="88"/>
        <v>0</v>
      </c>
      <c r="Y591" s="276"/>
      <c r="Z591" s="276"/>
      <c r="AB591" s="278" t="str">
        <f t="shared" si="89"/>
        <v/>
      </c>
    </row>
    <row r="592" spans="1:28" s="277" customFormat="1" ht="20.25">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ca="1" si="87"/>
        <v/>
      </c>
      <c r="T592" s="225" t="str">
        <f ca="1">IF(B592="","",IF(ISERROR(MATCH($J592,SorP!$B$1:$B$6230,0)),"",INDIRECT("'SorP'!$A$"&amp;MATCH($J592,SorP!$B$1:$B$6230,0))))</f>
        <v/>
      </c>
      <c r="U592" s="241"/>
      <c r="V592" s="275" t="e">
        <f>IF(C592="",NA(),MATCH($B592&amp;$C592,'Smelter Look-up'!$J:$J,0))</f>
        <v>#N/A</v>
      </c>
      <c r="W592" s="276"/>
      <c r="X592" s="276">
        <f t="shared" ca="1" si="88"/>
        <v>0</v>
      </c>
      <c r="Y592" s="276"/>
      <c r="Z592" s="276"/>
      <c r="AB592" s="278" t="str">
        <f t="shared" si="89"/>
        <v/>
      </c>
    </row>
    <row r="593" spans="1:28" s="277" customFormat="1" ht="20.25">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87"/>
        <v/>
      </c>
      <c r="T593" s="225" t="str">
        <f ca="1">IF(B593="","",IF(ISERROR(MATCH($J593,SorP!$B$1:$B$6230,0)),"",INDIRECT("'SorP'!$A$"&amp;MATCH($J593,SorP!$B$1:$B$6230,0))))</f>
        <v/>
      </c>
      <c r="U593" s="241"/>
      <c r="V593" s="275" t="e">
        <f>IF(C593="",NA(),MATCH($B593&amp;$C593,'Smelter Look-up'!$J:$J,0))</f>
        <v>#N/A</v>
      </c>
      <c r="W593" s="276"/>
      <c r="X593" s="276">
        <f t="shared" ca="1" si="88"/>
        <v>0</v>
      </c>
      <c r="Y593" s="276"/>
      <c r="Z593" s="276"/>
      <c r="AB593" s="278" t="str">
        <f t="shared" si="89"/>
        <v/>
      </c>
    </row>
    <row r="594" spans="1:28" s="277" customFormat="1" ht="20.25">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87"/>
        <v/>
      </c>
      <c r="T594" s="225" t="str">
        <f ca="1">IF(B594="","",IF(ISERROR(MATCH($J594,SorP!$B$1:$B$6230,0)),"",INDIRECT("'SorP'!$A$"&amp;MATCH($J594,SorP!$B$1:$B$6230,0))))</f>
        <v/>
      </c>
      <c r="U594" s="241"/>
      <c r="V594" s="275" t="e">
        <f>IF(C594="",NA(),MATCH($B594&amp;$C594,'Smelter Look-up'!$J:$J,0))</f>
        <v>#N/A</v>
      </c>
      <c r="W594" s="276"/>
      <c r="X594" s="276">
        <f t="shared" ca="1" si="88"/>
        <v>0</v>
      </c>
      <c r="Y594" s="276"/>
      <c r="Z594" s="276"/>
      <c r="AB594" s="278" t="str">
        <f t="shared" si="89"/>
        <v/>
      </c>
    </row>
    <row r="595" spans="1:28" s="277" customFormat="1" ht="20.25">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87"/>
        <v/>
      </c>
      <c r="T595" s="225" t="str">
        <f ca="1">IF(B595="","",IF(ISERROR(MATCH($J595,SorP!$B$1:$B$6230,0)),"",INDIRECT("'SorP'!$A$"&amp;MATCH($J595,SorP!$B$1:$B$6230,0))))</f>
        <v/>
      </c>
      <c r="U595" s="241"/>
      <c r="V595" s="275" t="e">
        <f>IF(C595="",NA(),MATCH($B595&amp;$C595,'Smelter Look-up'!$J:$J,0))</f>
        <v>#N/A</v>
      </c>
      <c r="W595" s="276"/>
      <c r="X595" s="276">
        <f t="shared" ca="1" si="88"/>
        <v>0</v>
      </c>
      <c r="Y595" s="276"/>
      <c r="Z595" s="276"/>
      <c r="AB595" s="278" t="str">
        <f t="shared" si="89"/>
        <v/>
      </c>
    </row>
    <row r="596" spans="1:28" s="277" customFormat="1" ht="20.25">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87"/>
        <v/>
      </c>
      <c r="T596" s="225" t="str">
        <f ca="1">IF(B596="","",IF(ISERROR(MATCH($J596,SorP!$B$1:$B$6230,0)),"",INDIRECT("'SorP'!$A$"&amp;MATCH($J596,SorP!$B$1:$B$6230,0))))</f>
        <v/>
      </c>
      <c r="U596" s="241"/>
      <c r="V596" s="275" t="e">
        <f>IF(C596="",NA(),MATCH($B596&amp;$C596,'Smelter Look-up'!$J:$J,0))</f>
        <v>#N/A</v>
      </c>
      <c r="W596" s="276"/>
      <c r="X596" s="276">
        <f t="shared" ca="1" si="88"/>
        <v>0</v>
      </c>
      <c r="Y596" s="276"/>
      <c r="Z596" s="276"/>
      <c r="AB596" s="278" t="str">
        <f t="shared" si="89"/>
        <v/>
      </c>
    </row>
    <row r="597" spans="1:28" s="277" customFormat="1" ht="20.25">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87"/>
        <v/>
      </c>
      <c r="T597" s="225" t="str">
        <f ca="1">IF(B597="","",IF(ISERROR(MATCH($J597,SorP!$B$1:$B$6230,0)),"",INDIRECT("'SorP'!$A$"&amp;MATCH($J597,SorP!$B$1:$B$6230,0))))</f>
        <v/>
      </c>
      <c r="U597" s="241"/>
      <c r="V597" s="275" t="e">
        <f>IF(C597="",NA(),MATCH($B597&amp;$C597,'Smelter Look-up'!$J:$J,0))</f>
        <v>#N/A</v>
      </c>
      <c r="W597" s="276"/>
      <c r="X597" s="276">
        <f t="shared" ca="1" si="88"/>
        <v>0</v>
      </c>
      <c r="Y597" s="276"/>
      <c r="Z597" s="276"/>
      <c r="AB597" s="278" t="str">
        <f t="shared" si="89"/>
        <v/>
      </c>
    </row>
    <row r="598" spans="1:28" s="277" customFormat="1" ht="20.25">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87"/>
        <v/>
      </c>
      <c r="T598" s="225" t="str">
        <f ca="1">IF(B598="","",IF(ISERROR(MATCH($J598,SorP!$B$1:$B$6230,0)),"",INDIRECT("'SorP'!$A$"&amp;MATCH($J598,SorP!$B$1:$B$6230,0))))</f>
        <v/>
      </c>
      <c r="U598" s="241"/>
      <c r="V598" s="275" t="e">
        <f>IF(C598="",NA(),MATCH($B598&amp;$C598,'Smelter Look-up'!$J:$J,0))</f>
        <v>#N/A</v>
      </c>
      <c r="W598" s="276"/>
      <c r="X598" s="276">
        <f t="shared" ca="1" si="88"/>
        <v>0</v>
      </c>
      <c r="Y598" s="276"/>
      <c r="Z598" s="276"/>
      <c r="AB598" s="278" t="str">
        <f t="shared" si="89"/>
        <v/>
      </c>
    </row>
    <row r="599" spans="1:28" s="277" customFormat="1" ht="20.25">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87"/>
        <v/>
      </c>
      <c r="T599" s="225" t="str">
        <f ca="1">IF(B599="","",IF(ISERROR(MATCH($J599,SorP!$B$1:$B$6230,0)),"",INDIRECT("'SorP'!$A$"&amp;MATCH($J599,SorP!$B$1:$B$6230,0))))</f>
        <v/>
      </c>
      <c r="U599" s="241"/>
      <c r="V599" s="275" t="e">
        <f>IF(C599="",NA(),MATCH($B599&amp;$C599,'Smelter Look-up'!$J:$J,0))</f>
        <v>#N/A</v>
      </c>
      <c r="W599" s="276"/>
      <c r="X599" s="276">
        <f t="shared" ca="1" si="88"/>
        <v>0</v>
      </c>
      <c r="Y599" s="276"/>
      <c r="Z599" s="276"/>
      <c r="AB599" s="278" t="str">
        <f t="shared" si="89"/>
        <v/>
      </c>
    </row>
    <row r="600" spans="1:28" s="277" customFormat="1" ht="20.25">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87"/>
        <v/>
      </c>
      <c r="T600" s="225" t="str">
        <f ca="1">IF(B600="","",IF(ISERROR(MATCH($J600,SorP!$B$1:$B$6230,0)),"",INDIRECT("'SorP'!$A$"&amp;MATCH($J600,SorP!$B$1:$B$6230,0))))</f>
        <v/>
      </c>
      <c r="U600" s="241"/>
      <c r="V600" s="275" t="e">
        <f>IF(C600="",NA(),MATCH($B600&amp;$C600,'Smelter Look-up'!$J:$J,0))</f>
        <v>#N/A</v>
      </c>
      <c r="W600" s="276"/>
      <c r="X600" s="276">
        <f t="shared" ca="1" si="88"/>
        <v>0</v>
      </c>
      <c r="Y600" s="276"/>
      <c r="Z600" s="276"/>
      <c r="AB600" s="278" t="str">
        <f t="shared" si="89"/>
        <v/>
      </c>
    </row>
    <row r="601" spans="1:28" s="277" customFormat="1" ht="20.25">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87"/>
        <v/>
      </c>
      <c r="T601" s="225" t="str">
        <f ca="1">IF(B601="","",IF(ISERROR(MATCH($J601,SorP!$B$1:$B$6230,0)),"",INDIRECT("'SorP'!$A$"&amp;MATCH($J601,SorP!$B$1:$B$6230,0))))</f>
        <v/>
      </c>
      <c r="U601" s="241"/>
      <c r="V601" s="275" t="e">
        <f>IF(C601="",NA(),MATCH($B601&amp;$C601,'Smelter Look-up'!$J:$J,0))</f>
        <v>#N/A</v>
      </c>
      <c r="W601" s="276"/>
      <c r="X601" s="276">
        <f t="shared" ca="1" si="88"/>
        <v>0</v>
      </c>
      <c r="Y601" s="276"/>
      <c r="Z601" s="276"/>
      <c r="AB601" s="278" t="str">
        <f t="shared" si="89"/>
        <v/>
      </c>
    </row>
    <row r="602" spans="1:28" s="277" customFormat="1" ht="20.25">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87"/>
        <v/>
      </c>
      <c r="T602" s="225" t="str">
        <f ca="1">IF(B602="","",IF(ISERROR(MATCH($J602,SorP!$B$1:$B$6230,0)),"",INDIRECT("'SorP'!$A$"&amp;MATCH($J602,SorP!$B$1:$B$6230,0))))</f>
        <v/>
      </c>
      <c r="U602" s="241"/>
      <c r="V602" s="275" t="e">
        <f>IF(C602="",NA(),MATCH($B602&amp;$C602,'Smelter Look-up'!$J:$J,0))</f>
        <v>#N/A</v>
      </c>
      <c r="W602" s="276"/>
      <c r="X602" s="276">
        <f t="shared" ca="1" si="88"/>
        <v>0</v>
      </c>
      <c r="Y602" s="276"/>
      <c r="Z602" s="276"/>
      <c r="AB602" s="278" t="str">
        <f t="shared" si="89"/>
        <v/>
      </c>
    </row>
    <row r="603" spans="1:28" s="277" customFormat="1" ht="20.25">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87"/>
        <v/>
      </c>
      <c r="T603" s="225" t="str">
        <f ca="1">IF(B603="","",IF(ISERROR(MATCH($J603,SorP!$B$1:$B$6230,0)),"",INDIRECT("'SorP'!$A$"&amp;MATCH($J603,SorP!$B$1:$B$6230,0))))</f>
        <v/>
      </c>
      <c r="U603" s="241"/>
      <c r="V603" s="275" t="e">
        <f>IF(C603="",NA(),MATCH($B603&amp;$C603,'Smelter Look-up'!$J:$J,0))</f>
        <v>#N/A</v>
      </c>
      <c r="W603" s="276"/>
      <c r="X603" s="276">
        <f t="shared" ca="1" si="88"/>
        <v>0</v>
      </c>
      <c r="Y603" s="276"/>
      <c r="Z603" s="276"/>
      <c r="AB603" s="278" t="str">
        <f t="shared" si="89"/>
        <v/>
      </c>
    </row>
    <row r="604" spans="1:28" s="277" customFormat="1" ht="20.25">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87"/>
        <v/>
      </c>
      <c r="T604" s="225" t="str">
        <f ca="1">IF(B604="","",IF(ISERROR(MATCH($J604,SorP!$B$1:$B$6230,0)),"",INDIRECT("'SorP'!$A$"&amp;MATCH($J604,SorP!$B$1:$B$6230,0))))</f>
        <v/>
      </c>
      <c r="U604" s="241"/>
      <c r="V604" s="275" t="e">
        <f>IF(C604="",NA(),MATCH($B604&amp;$C604,'Smelter Look-up'!$J:$J,0))</f>
        <v>#N/A</v>
      </c>
      <c r="W604" s="276"/>
      <c r="X604" s="276">
        <f t="shared" ca="1" si="88"/>
        <v>0</v>
      </c>
      <c r="Y604" s="276"/>
      <c r="Z604" s="276"/>
      <c r="AB604" s="278" t="str">
        <f t="shared" si="89"/>
        <v/>
      </c>
    </row>
    <row r="605" spans="1:28" s="277" customFormat="1" ht="20.25">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87"/>
        <v/>
      </c>
      <c r="T605" s="225" t="str">
        <f ca="1">IF(B605="","",IF(ISERROR(MATCH($J605,SorP!$B$1:$B$6230,0)),"",INDIRECT("'SorP'!$A$"&amp;MATCH($J605,SorP!$B$1:$B$6230,0))))</f>
        <v/>
      </c>
      <c r="U605" s="241"/>
      <c r="V605" s="275" t="e">
        <f>IF(C605="",NA(),MATCH($B605&amp;$C605,'Smelter Look-up'!$J:$J,0))</f>
        <v>#N/A</v>
      </c>
      <c r="W605" s="276"/>
      <c r="X605" s="276">
        <f t="shared" ca="1" si="88"/>
        <v>0</v>
      </c>
      <c r="Y605" s="276"/>
      <c r="Z605" s="276"/>
      <c r="AB605" s="278" t="str">
        <f t="shared" si="89"/>
        <v/>
      </c>
    </row>
    <row r="606" spans="1:28" s="277" customFormat="1" ht="20.25">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87"/>
        <v/>
      </c>
      <c r="T606" s="225" t="str">
        <f ca="1">IF(B606="","",IF(ISERROR(MATCH($J606,SorP!$B$1:$B$6230,0)),"",INDIRECT("'SorP'!$A$"&amp;MATCH($J606,SorP!$B$1:$B$6230,0))))</f>
        <v/>
      </c>
      <c r="U606" s="241"/>
      <c r="V606" s="275" t="e">
        <f>IF(C606="",NA(),MATCH($B606&amp;$C606,'Smelter Look-up'!$J:$J,0))</f>
        <v>#N/A</v>
      </c>
      <c r="W606" s="276"/>
      <c r="X606" s="276">
        <f t="shared" ca="1" si="88"/>
        <v>0</v>
      </c>
      <c r="Y606" s="276"/>
      <c r="Z606" s="276"/>
      <c r="AB606" s="278" t="str">
        <f t="shared" si="89"/>
        <v/>
      </c>
    </row>
    <row r="607" spans="1:28" s="277" customFormat="1" ht="20.25">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87"/>
        <v/>
      </c>
      <c r="T607" s="225" t="str">
        <f ca="1">IF(B607="","",IF(ISERROR(MATCH($J607,SorP!$B$1:$B$6230,0)),"",INDIRECT("'SorP'!$A$"&amp;MATCH($J607,SorP!$B$1:$B$6230,0))))</f>
        <v/>
      </c>
      <c r="U607" s="241"/>
      <c r="V607" s="275" t="e">
        <f>IF(C607="",NA(),MATCH($B607&amp;$C607,'Smelter Look-up'!$J:$J,0))</f>
        <v>#N/A</v>
      </c>
      <c r="W607" s="276"/>
      <c r="X607" s="276">
        <f t="shared" ca="1" si="88"/>
        <v>0</v>
      </c>
      <c r="Y607" s="276"/>
      <c r="Z607" s="276"/>
      <c r="AB607" s="278" t="str">
        <f t="shared" si="89"/>
        <v/>
      </c>
    </row>
    <row r="608" spans="1:28" s="277" customFormat="1" ht="20.25">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87"/>
        <v/>
      </c>
      <c r="T608" s="225" t="str">
        <f ca="1">IF(B608="","",IF(ISERROR(MATCH($J608,SorP!$B$1:$B$6230,0)),"",INDIRECT("'SorP'!$A$"&amp;MATCH($J608,SorP!$B$1:$B$6230,0))))</f>
        <v/>
      </c>
      <c r="U608" s="241"/>
      <c r="V608" s="275" t="e">
        <f>IF(C608="",NA(),MATCH($B608&amp;$C608,'Smelter Look-up'!$J:$J,0))</f>
        <v>#N/A</v>
      </c>
      <c r="W608" s="276"/>
      <c r="X608" s="276">
        <f t="shared" ca="1" si="88"/>
        <v>0</v>
      </c>
      <c r="Y608" s="276"/>
      <c r="Z608" s="276"/>
      <c r="AB608" s="278" t="str">
        <f t="shared" si="89"/>
        <v/>
      </c>
    </row>
    <row r="609" spans="1:28" s="277" customFormat="1" ht="20.25">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87"/>
        <v/>
      </c>
      <c r="T609" s="225" t="str">
        <f ca="1">IF(B609="","",IF(ISERROR(MATCH($J609,SorP!$B$1:$B$6230,0)),"",INDIRECT("'SorP'!$A$"&amp;MATCH($J609,SorP!$B$1:$B$6230,0))))</f>
        <v/>
      </c>
      <c r="U609" s="241"/>
      <c r="V609" s="275" t="e">
        <f>IF(C609="",NA(),MATCH($B609&amp;$C609,'Smelter Look-up'!$J:$J,0))</f>
        <v>#N/A</v>
      </c>
      <c r="W609" s="276"/>
      <c r="X609" s="276">
        <f t="shared" ca="1" si="88"/>
        <v>0</v>
      </c>
      <c r="Y609" s="276"/>
      <c r="Z609" s="276"/>
      <c r="AB609" s="278" t="str">
        <f t="shared" si="89"/>
        <v/>
      </c>
    </row>
    <row r="610" spans="1:28" s="277" customFormat="1" ht="20.25">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87"/>
        <v/>
      </c>
      <c r="T610" s="225" t="str">
        <f ca="1">IF(B610="","",IF(ISERROR(MATCH($J610,SorP!$B$1:$B$6230,0)),"",INDIRECT("'SorP'!$A$"&amp;MATCH($J610,SorP!$B$1:$B$6230,0))))</f>
        <v/>
      </c>
      <c r="U610" s="241"/>
      <c r="V610" s="275" t="e">
        <f>IF(C610="",NA(),MATCH($B610&amp;$C610,'Smelter Look-up'!$J:$J,0))</f>
        <v>#N/A</v>
      </c>
      <c r="W610" s="276"/>
      <c r="X610" s="276">
        <f t="shared" ca="1" si="88"/>
        <v>0</v>
      </c>
      <c r="Y610" s="276"/>
      <c r="Z610" s="276"/>
      <c r="AB610" s="278" t="str">
        <f t="shared" si="89"/>
        <v/>
      </c>
    </row>
    <row r="611" spans="1:28" s="277" customFormat="1" ht="20.25">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87"/>
        <v/>
      </c>
      <c r="T611" s="225" t="str">
        <f ca="1">IF(B611="","",IF(ISERROR(MATCH($J611,SorP!$B$1:$B$6230,0)),"",INDIRECT("'SorP'!$A$"&amp;MATCH($J611,SorP!$B$1:$B$6230,0))))</f>
        <v/>
      </c>
      <c r="U611" s="241"/>
      <c r="V611" s="275" t="e">
        <f>IF(C611="",NA(),MATCH($B611&amp;$C611,'Smelter Look-up'!$J:$J,0))</f>
        <v>#N/A</v>
      </c>
      <c r="W611" s="276"/>
      <c r="X611" s="276">
        <f t="shared" ca="1" si="88"/>
        <v>0</v>
      </c>
      <c r="Y611" s="276"/>
      <c r="Z611" s="276"/>
      <c r="AB611" s="278" t="str">
        <f t="shared" si="89"/>
        <v/>
      </c>
    </row>
    <row r="612" spans="1:28" s="277" customFormat="1" ht="20.25">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87"/>
        <v/>
      </c>
      <c r="T612" s="225" t="str">
        <f ca="1">IF(B612="","",IF(ISERROR(MATCH($J612,SorP!$B$1:$B$6230,0)),"",INDIRECT("'SorP'!$A$"&amp;MATCH($J612,SorP!$B$1:$B$6230,0))))</f>
        <v/>
      </c>
      <c r="U612" s="241"/>
      <c r="V612" s="275" t="e">
        <f>IF(C612="",NA(),MATCH($B612&amp;$C612,'Smelter Look-up'!$J:$J,0))</f>
        <v>#N/A</v>
      </c>
      <c r="W612" s="276"/>
      <c r="X612" s="276">
        <f t="shared" ca="1" si="88"/>
        <v>0</v>
      </c>
      <c r="Y612" s="276"/>
      <c r="Z612" s="276"/>
      <c r="AB612" s="278" t="str">
        <f t="shared" si="89"/>
        <v/>
      </c>
    </row>
    <row r="613" spans="1:28" s="277" customFormat="1" ht="20.25">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87"/>
        <v/>
      </c>
      <c r="T613" s="225" t="str">
        <f ca="1">IF(B613="","",IF(ISERROR(MATCH($J613,SorP!$B$1:$B$6230,0)),"",INDIRECT("'SorP'!$A$"&amp;MATCH($J613,SorP!$B$1:$B$6230,0))))</f>
        <v/>
      </c>
      <c r="U613" s="241"/>
      <c r="V613" s="275" t="e">
        <f>IF(C613="",NA(),MATCH($B613&amp;$C613,'Smelter Look-up'!$J:$J,0))</f>
        <v>#N/A</v>
      </c>
      <c r="W613" s="276"/>
      <c r="X613" s="276">
        <f t="shared" ca="1" si="88"/>
        <v>0</v>
      </c>
      <c r="Y613" s="276"/>
      <c r="Z613" s="276"/>
      <c r="AB613" s="278" t="str">
        <f t="shared" si="89"/>
        <v/>
      </c>
    </row>
    <row r="614" spans="1:28" s="277" customFormat="1" ht="20.25">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87"/>
        <v/>
      </c>
      <c r="T614" s="225" t="str">
        <f ca="1">IF(B614="","",IF(ISERROR(MATCH($J614,SorP!$B$1:$B$6230,0)),"",INDIRECT("'SorP'!$A$"&amp;MATCH($J614,SorP!$B$1:$B$6230,0))))</f>
        <v/>
      </c>
      <c r="U614" s="241"/>
      <c r="V614" s="275" t="e">
        <f>IF(C614="",NA(),MATCH($B614&amp;$C614,'Smelter Look-up'!$J:$J,0))</f>
        <v>#N/A</v>
      </c>
      <c r="W614" s="276"/>
      <c r="X614" s="276">
        <f t="shared" ca="1" si="88"/>
        <v>0</v>
      </c>
      <c r="Y614" s="276"/>
      <c r="Z614" s="276"/>
      <c r="AB614" s="278" t="str">
        <f t="shared" si="89"/>
        <v/>
      </c>
    </row>
    <row r="615" spans="1:28" s="277" customFormat="1" ht="20.25">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87"/>
        <v/>
      </c>
      <c r="T615" s="225" t="str">
        <f ca="1">IF(B615="","",IF(ISERROR(MATCH($J615,SorP!$B$1:$B$6230,0)),"",INDIRECT("'SorP'!$A$"&amp;MATCH($J615,SorP!$B$1:$B$6230,0))))</f>
        <v/>
      </c>
      <c r="U615" s="241"/>
      <c r="V615" s="275" t="e">
        <f>IF(C615="",NA(),MATCH($B615&amp;$C615,'Smelter Look-up'!$J:$J,0))</f>
        <v>#N/A</v>
      </c>
      <c r="W615" s="276"/>
      <c r="X615" s="276">
        <f t="shared" ca="1" si="88"/>
        <v>0</v>
      </c>
      <c r="Y615" s="276"/>
      <c r="Z615" s="276"/>
      <c r="AB615" s="278" t="str">
        <f t="shared" si="89"/>
        <v/>
      </c>
    </row>
    <row r="616" spans="1:28" s="277" customFormat="1" ht="20.25">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87"/>
        <v/>
      </c>
      <c r="T616" s="225" t="str">
        <f ca="1">IF(B616="","",IF(ISERROR(MATCH($J616,SorP!$B$1:$B$6230,0)),"",INDIRECT("'SorP'!$A$"&amp;MATCH($J616,SorP!$B$1:$B$6230,0))))</f>
        <v/>
      </c>
      <c r="U616" s="241"/>
      <c r="V616" s="275" t="e">
        <f>IF(C616="",NA(),MATCH($B616&amp;$C616,'Smelter Look-up'!$J:$J,0))</f>
        <v>#N/A</v>
      </c>
      <c r="W616" s="276"/>
      <c r="X616" s="276">
        <f t="shared" ca="1" si="88"/>
        <v>0</v>
      </c>
      <c r="Y616" s="276"/>
      <c r="Z616" s="276"/>
      <c r="AB616" s="278" t="str">
        <f t="shared" si="89"/>
        <v/>
      </c>
    </row>
    <row r="617" spans="1:28" s="277" customFormat="1" ht="20.25">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87"/>
        <v/>
      </c>
      <c r="T617" s="225" t="str">
        <f ca="1">IF(B617="","",IF(ISERROR(MATCH($J617,SorP!$B$1:$B$6230,0)),"",INDIRECT("'SorP'!$A$"&amp;MATCH($J617,SorP!$B$1:$B$6230,0))))</f>
        <v/>
      </c>
      <c r="U617" s="241"/>
      <c r="V617" s="275" t="e">
        <f>IF(C617="",NA(),MATCH($B617&amp;$C617,'Smelter Look-up'!$J:$J,0))</f>
        <v>#N/A</v>
      </c>
      <c r="W617" s="276"/>
      <c r="X617" s="276">
        <f t="shared" ca="1" si="88"/>
        <v>0</v>
      </c>
      <c r="Y617" s="276"/>
      <c r="Z617" s="276"/>
      <c r="AB617" s="278" t="str">
        <f t="shared" si="89"/>
        <v/>
      </c>
    </row>
    <row r="618" spans="1:28" s="277" customFormat="1" ht="20.25">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87"/>
        <v/>
      </c>
      <c r="T618" s="225" t="str">
        <f ca="1">IF(B618="","",IF(ISERROR(MATCH($J618,SorP!$B$1:$B$6230,0)),"",INDIRECT("'SorP'!$A$"&amp;MATCH($J618,SorP!$B$1:$B$6230,0))))</f>
        <v/>
      </c>
      <c r="U618" s="241"/>
      <c r="V618" s="275" t="e">
        <f>IF(C618="",NA(),MATCH($B618&amp;$C618,'Smelter Look-up'!$J:$J,0))</f>
        <v>#N/A</v>
      </c>
      <c r="W618" s="276"/>
      <c r="X618" s="276">
        <f t="shared" ca="1" si="88"/>
        <v>0</v>
      </c>
      <c r="Y618" s="276"/>
      <c r="Z618" s="276"/>
      <c r="AB618" s="278" t="str">
        <f t="shared" si="89"/>
        <v/>
      </c>
    </row>
    <row r="619" spans="1:28" s="277" customFormat="1" ht="20.25">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87"/>
        <v/>
      </c>
      <c r="T619" s="225" t="str">
        <f ca="1">IF(B619="","",IF(ISERROR(MATCH($J619,SorP!$B$1:$B$6230,0)),"",INDIRECT("'SorP'!$A$"&amp;MATCH($J619,SorP!$B$1:$B$6230,0))))</f>
        <v/>
      </c>
      <c r="U619" s="241"/>
      <c r="V619" s="275" t="e">
        <f>IF(C619="",NA(),MATCH($B619&amp;$C619,'Smelter Look-up'!$J:$J,0))</f>
        <v>#N/A</v>
      </c>
      <c r="W619" s="276"/>
      <c r="X619" s="276">
        <f t="shared" ca="1" si="88"/>
        <v>0</v>
      </c>
      <c r="Y619" s="276"/>
      <c r="Z619" s="276"/>
      <c r="AB619" s="278" t="str">
        <f t="shared" si="89"/>
        <v/>
      </c>
    </row>
    <row r="620" spans="1:28" s="277" customFormat="1" ht="20.25">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87"/>
        <v/>
      </c>
      <c r="T620" s="225" t="str">
        <f ca="1">IF(B620="","",IF(ISERROR(MATCH($J620,SorP!$B$1:$B$6230,0)),"",INDIRECT("'SorP'!$A$"&amp;MATCH($J620,SorP!$B$1:$B$6230,0))))</f>
        <v/>
      </c>
      <c r="U620" s="241"/>
      <c r="V620" s="275" t="e">
        <f>IF(C620="",NA(),MATCH($B620&amp;$C620,'Smelter Look-up'!$J:$J,0))</f>
        <v>#N/A</v>
      </c>
      <c r="W620" s="276"/>
      <c r="X620" s="276">
        <f t="shared" ca="1" si="88"/>
        <v>0</v>
      </c>
      <c r="Y620" s="276"/>
      <c r="Z620" s="276"/>
      <c r="AB620" s="278" t="str">
        <f t="shared" si="89"/>
        <v/>
      </c>
    </row>
    <row r="621" spans="1:28" s="277" customFormat="1" ht="20.25">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87"/>
        <v/>
      </c>
      <c r="T621" s="225" t="str">
        <f ca="1">IF(B621="","",IF(ISERROR(MATCH($J621,SorP!$B$1:$B$6230,0)),"",INDIRECT("'SorP'!$A$"&amp;MATCH($J621,SorP!$B$1:$B$6230,0))))</f>
        <v/>
      </c>
      <c r="U621" s="241"/>
      <c r="V621" s="275" t="e">
        <f>IF(C621="",NA(),MATCH($B621&amp;$C621,'Smelter Look-up'!$J:$J,0))</f>
        <v>#N/A</v>
      </c>
      <c r="W621" s="276"/>
      <c r="X621" s="276">
        <f t="shared" ca="1" si="88"/>
        <v>0</v>
      </c>
      <c r="Y621" s="276"/>
      <c r="Z621" s="276"/>
      <c r="AB621" s="278" t="str">
        <f t="shared" si="89"/>
        <v/>
      </c>
    </row>
    <row r="622" spans="1:28" s="277" customFormat="1" ht="20.25">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87"/>
        <v/>
      </c>
      <c r="T622" s="225" t="str">
        <f ca="1">IF(B622="","",IF(ISERROR(MATCH($J622,SorP!$B$1:$B$6230,0)),"",INDIRECT("'SorP'!$A$"&amp;MATCH($J622,SorP!$B$1:$B$6230,0))))</f>
        <v/>
      </c>
      <c r="U622" s="241"/>
      <c r="V622" s="275" t="e">
        <f>IF(C622="",NA(),MATCH($B622&amp;$C622,'Smelter Look-up'!$J:$J,0))</f>
        <v>#N/A</v>
      </c>
      <c r="W622" s="276"/>
      <c r="X622" s="276">
        <f t="shared" ca="1" si="88"/>
        <v>0</v>
      </c>
      <c r="Y622" s="276"/>
      <c r="Z622" s="276"/>
      <c r="AB622" s="278" t="str">
        <f t="shared" si="89"/>
        <v/>
      </c>
    </row>
    <row r="623" spans="1:28" s="277" customFormat="1" ht="20.25">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ca="1" si="87"/>
        <v/>
      </c>
      <c r="T623" s="225" t="str">
        <f ca="1">IF(B623="","",IF(ISERROR(MATCH($J623,SorP!$B$1:$B$6230,0)),"",INDIRECT("'SorP'!$A$"&amp;MATCH($J623,SorP!$B$1:$B$6230,0))))</f>
        <v/>
      </c>
      <c r="U623" s="241"/>
      <c r="V623" s="275" t="e">
        <f>IF(C623="",NA(),MATCH($B623&amp;$C623,'Smelter Look-up'!$J:$J,0))</f>
        <v>#N/A</v>
      </c>
      <c r="W623" s="276"/>
      <c r="X623" s="276">
        <f t="shared" ca="1" si="88"/>
        <v>0</v>
      </c>
      <c r="Y623" s="276"/>
      <c r="Z623" s="276"/>
      <c r="AB623" s="278" t="str">
        <f t="shared" si="89"/>
        <v/>
      </c>
    </row>
    <row r="624" spans="1:28" s="277" customFormat="1" ht="20.25">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ca="1" si="87"/>
        <v/>
      </c>
      <c r="T624" s="225" t="str">
        <f ca="1">IF(B624="","",IF(ISERROR(MATCH($J624,SorP!$B$1:$B$6230,0)),"",INDIRECT("'SorP'!$A$"&amp;MATCH($J624,SorP!$B$1:$B$6230,0))))</f>
        <v/>
      </c>
      <c r="U624" s="241"/>
      <c r="V624" s="275" t="e">
        <f>IF(C624="",NA(),MATCH($B624&amp;$C624,'Smelter Look-up'!$J:$J,0))</f>
        <v>#N/A</v>
      </c>
      <c r="W624" s="276"/>
      <c r="X624" s="276">
        <f t="shared" ca="1" si="88"/>
        <v>0</v>
      </c>
      <c r="Y624" s="276"/>
      <c r="Z624" s="276"/>
      <c r="AB624" s="278" t="str">
        <f t="shared" si="89"/>
        <v/>
      </c>
    </row>
    <row r="625" spans="1:28" s="277" customFormat="1" ht="20.25">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ca="1" si="87"/>
        <v/>
      </c>
      <c r="T625" s="225" t="str">
        <f ca="1">IF(B625="","",IF(ISERROR(MATCH($J625,SorP!$B$1:$B$6230,0)),"",INDIRECT("'SorP'!$A$"&amp;MATCH($J625,SorP!$B$1:$B$6230,0))))</f>
        <v/>
      </c>
      <c r="U625" s="241"/>
      <c r="V625" s="275" t="e">
        <f>IF(C625="",NA(),MATCH($B625&amp;$C625,'Smelter Look-up'!$J:$J,0))</f>
        <v>#N/A</v>
      </c>
      <c r="W625" s="276"/>
      <c r="X625" s="276">
        <f t="shared" ca="1" si="88"/>
        <v>0</v>
      </c>
      <c r="Y625" s="276"/>
      <c r="Z625" s="276"/>
      <c r="AB625" s="278" t="str">
        <f t="shared" si="89"/>
        <v/>
      </c>
    </row>
    <row r="626" spans="1:28" s="277" customFormat="1" ht="20.25">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ca="1" si="87"/>
        <v/>
      </c>
      <c r="T626" s="225" t="str">
        <f ca="1">IF(B626="","",IF(ISERROR(MATCH($J626,SorP!$B$1:$B$6230,0)),"",INDIRECT("'SorP'!$A$"&amp;MATCH($J626,SorP!$B$1:$B$6230,0))))</f>
        <v/>
      </c>
      <c r="U626" s="241"/>
      <c r="V626" s="275" t="e">
        <f>IF(C626="",NA(),MATCH($B626&amp;$C626,'Smelter Look-up'!$J:$J,0))</f>
        <v>#N/A</v>
      </c>
      <c r="W626" s="276"/>
      <c r="X626" s="276">
        <f t="shared" ca="1" si="88"/>
        <v>0</v>
      </c>
      <c r="Y626" s="276"/>
      <c r="Z626" s="276"/>
      <c r="AB626" s="278" t="str">
        <f t="shared" si="89"/>
        <v/>
      </c>
    </row>
    <row r="627" spans="1:28" s="277" customFormat="1" ht="20.25">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87"/>
        <v/>
      </c>
      <c r="T627" s="225" t="str">
        <f ca="1">IF(B627="","",IF(ISERROR(MATCH($J627,SorP!$B$1:$B$6230,0)),"",INDIRECT("'SorP'!$A$"&amp;MATCH($J627,SorP!$B$1:$B$6230,0))))</f>
        <v/>
      </c>
      <c r="U627" s="241"/>
      <c r="V627" s="275" t="e">
        <f>IF(C627="",NA(),MATCH($B627&amp;$C627,'Smelter Look-up'!$J:$J,0))</f>
        <v>#N/A</v>
      </c>
      <c r="W627" s="276"/>
      <c r="X627" s="276">
        <f t="shared" ca="1" si="88"/>
        <v>0</v>
      </c>
      <c r="Y627" s="276"/>
      <c r="Z627" s="276"/>
      <c r="AB627" s="278" t="str">
        <f t="shared" si="89"/>
        <v/>
      </c>
    </row>
    <row r="628" spans="1:28" s="277" customFormat="1" ht="20.25">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87"/>
        <v/>
      </c>
      <c r="T628" s="225" t="str">
        <f ca="1">IF(B628="","",IF(ISERROR(MATCH($J628,SorP!$B$1:$B$6230,0)),"",INDIRECT("'SorP'!$A$"&amp;MATCH($J628,SorP!$B$1:$B$6230,0))))</f>
        <v/>
      </c>
      <c r="U628" s="241"/>
      <c r="V628" s="275" t="e">
        <f>IF(C628="",NA(),MATCH($B628&amp;$C628,'Smelter Look-up'!$J:$J,0))</f>
        <v>#N/A</v>
      </c>
      <c r="W628" s="276"/>
      <c r="X628" s="276">
        <f t="shared" ca="1" si="88"/>
        <v>0</v>
      </c>
      <c r="Y628" s="276"/>
      <c r="Z628" s="276"/>
      <c r="AB628" s="278" t="str">
        <f t="shared" si="89"/>
        <v/>
      </c>
    </row>
    <row r="629" spans="1:28" s="277" customFormat="1" ht="20.25">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87"/>
        <v/>
      </c>
      <c r="T629" s="225" t="str">
        <f ca="1">IF(B629="","",IF(ISERROR(MATCH($J629,SorP!$B$1:$B$6230,0)),"",INDIRECT("'SorP'!$A$"&amp;MATCH($J629,SorP!$B$1:$B$6230,0))))</f>
        <v/>
      </c>
      <c r="U629" s="241"/>
      <c r="V629" s="275" t="e">
        <f>IF(C629="",NA(),MATCH($B629&amp;$C629,'Smelter Look-up'!$J:$J,0))</f>
        <v>#N/A</v>
      </c>
      <c r="W629" s="276"/>
      <c r="X629" s="276">
        <f t="shared" ca="1" si="88"/>
        <v>0</v>
      </c>
      <c r="Y629" s="276"/>
      <c r="Z629" s="276"/>
      <c r="AB629" s="278" t="str">
        <f t="shared" si="89"/>
        <v/>
      </c>
    </row>
    <row r="630" spans="1:28" s="277" customFormat="1" ht="20.25">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87"/>
        <v/>
      </c>
      <c r="T630" s="225" t="str">
        <f ca="1">IF(B630="","",IF(ISERROR(MATCH($J630,SorP!$B$1:$B$6230,0)),"",INDIRECT("'SorP'!$A$"&amp;MATCH($J630,SorP!$B$1:$B$6230,0))))</f>
        <v/>
      </c>
      <c r="U630" s="241"/>
      <c r="V630" s="275" t="e">
        <f>IF(C630="",NA(),MATCH($B630&amp;$C630,'Smelter Look-up'!$J:$J,0))</f>
        <v>#N/A</v>
      </c>
      <c r="W630" s="276"/>
      <c r="X630" s="276">
        <f t="shared" ca="1" si="88"/>
        <v>0</v>
      </c>
      <c r="Y630" s="276"/>
      <c r="Z630" s="276"/>
      <c r="AB630" s="278" t="str">
        <f t="shared" si="89"/>
        <v/>
      </c>
    </row>
    <row r="631" spans="1:28" s="277" customFormat="1" ht="20.25">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87"/>
        <v/>
      </c>
      <c r="T631" s="225" t="str">
        <f ca="1">IF(B631="","",IF(ISERROR(MATCH($J631,SorP!$B$1:$B$6230,0)),"",INDIRECT("'SorP'!$A$"&amp;MATCH($J631,SorP!$B$1:$B$6230,0))))</f>
        <v/>
      </c>
      <c r="U631" s="241"/>
      <c r="V631" s="275" t="e">
        <f>IF(C631="",NA(),MATCH($B631&amp;$C631,'Smelter Look-up'!$J:$J,0))</f>
        <v>#N/A</v>
      </c>
      <c r="W631" s="276"/>
      <c r="X631" s="276">
        <f t="shared" ca="1" si="88"/>
        <v>0</v>
      </c>
      <c r="Y631" s="276"/>
      <c r="Z631" s="276"/>
      <c r="AB631" s="278" t="str">
        <f t="shared" si="89"/>
        <v/>
      </c>
    </row>
    <row r="632" spans="1:28" s="277" customFormat="1" ht="20.25">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87"/>
        <v/>
      </c>
      <c r="T632" s="225" t="str">
        <f ca="1">IF(B632="","",IF(ISERROR(MATCH($J632,SorP!$B$1:$B$6230,0)),"",INDIRECT("'SorP'!$A$"&amp;MATCH($J632,SorP!$B$1:$B$6230,0))))</f>
        <v/>
      </c>
      <c r="U632" s="241"/>
      <c r="V632" s="275" t="e">
        <f>IF(C632="",NA(),MATCH($B632&amp;$C632,'Smelter Look-up'!$J:$J,0))</f>
        <v>#N/A</v>
      </c>
      <c r="W632" s="276"/>
      <c r="X632" s="276">
        <f t="shared" ca="1" si="88"/>
        <v>0</v>
      </c>
      <c r="Y632" s="276"/>
      <c r="Z632" s="276"/>
      <c r="AB632" s="278" t="str">
        <f t="shared" si="89"/>
        <v/>
      </c>
    </row>
    <row r="633" spans="1:28" s="277" customFormat="1" ht="20.25">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87"/>
        <v/>
      </c>
      <c r="T633" s="225" t="str">
        <f ca="1">IF(B633="","",IF(ISERROR(MATCH($J633,SorP!$B$1:$B$6230,0)),"",INDIRECT("'SorP'!$A$"&amp;MATCH($J633,SorP!$B$1:$B$6230,0))))</f>
        <v/>
      </c>
      <c r="U633" s="241"/>
      <c r="V633" s="275" t="e">
        <f>IF(C633="",NA(),MATCH($B633&amp;$C633,'Smelter Look-up'!$J:$J,0))</f>
        <v>#N/A</v>
      </c>
      <c r="W633" s="276"/>
      <c r="X633" s="276">
        <f t="shared" ca="1" si="88"/>
        <v>0</v>
      </c>
      <c r="Y633" s="276"/>
      <c r="Z633" s="276"/>
      <c r="AB633" s="278" t="str">
        <f t="shared" si="89"/>
        <v/>
      </c>
    </row>
    <row r="634" spans="1:28" s="277" customFormat="1" ht="20.25">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ca="1" si="87"/>
        <v/>
      </c>
      <c r="T634" s="225" t="str">
        <f ca="1">IF(B634="","",IF(ISERROR(MATCH($J634,SorP!$B$1:$B$6230,0)),"",INDIRECT("'SorP'!$A$"&amp;MATCH($J634,SorP!$B$1:$B$6230,0))))</f>
        <v/>
      </c>
      <c r="U634" s="241"/>
      <c r="V634" s="275" t="e">
        <f>IF(C634="",NA(),MATCH($B634&amp;$C634,'Smelter Look-up'!$J:$J,0))</f>
        <v>#N/A</v>
      </c>
      <c r="W634" s="276"/>
      <c r="X634" s="276">
        <f t="shared" ca="1" si="88"/>
        <v>0</v>
      </c>
      <c r="Y634" s="276"/>
      <c r="Z634" s="276"/>
      <c r="AB634" s="278" t="str">
        <f t="shared" si="89"/>
        <v/>
      </c>
    </row>
    <row r="635" spans="1:28" s="277" customFormat="1" ht="20.25">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ref="S635" ca="1" si="90">IF(B635="","",IF(ISERROR(MATCH($E635,CL,0)),"Unknown",INDIRECT("'C'!$A$"&amp;MATCH($E635,CL,0)+1)))</f>
        <v/>
      </c>
      <c r="T635" s="225" t="str">
        <f ca="1">IF(B635="","",IF(ISERROR(MATCH($J635,SorP!$B$1:$B$6230,0)),"",INDIRECT("'SorP'!$A$"&amp;MATCH($J635,SorP!$B$1:$B$6230,0))))</f>
        <v/>
      </c>
      <c r="U635" s="241"/>
      <c r="V635" s="275" t="e">
        <f>IF(C635="",NA(),MATCH($B635&amp;$C635,'Smelter Look-up'!$J:$J,0))</f>
        <v>#N/A</v>
      </c>
      <c r="W635" s="276"/>
      <c r="X635" s="276">
        <f t="shared" ref="X635" ca="1" si="91">IF(AND(C635="Smelter not listed",OR(LEN(D635)=0,LEN(E635)=0)),1,0)</f>
        <v>0</v>
      </c>
      <c r="Y635" s="276"/>
      <c r="Z635" s="276"/>
      <c r="AB635" s="278" t="str">
        <f t="shared" ref="AB635" si="92">B635&amp;C635</f>
        <v/>
      </c>
    </row>
    <row r="636" spans="1:28" s="277" customFormat="1" ht="20.25">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ref="S636:S667" ca="1" si="93">IF(B636="","",IF(ISERROR(MATCH($E636,CL,0)),"Unknown",INDIRECT("'C'!$A$"&amp;MATCH($E636,CL,0)+1)))</f>
        <v/>
      </c>
      <c r="T636" s="225" t="str">
        <f ca="1">IF(B636="","",IF(ISERROR(MATCH($J636,SorP!$B$1:$B$6230,0)),"",INDIRECT("'SorP'!$A$"&amp;MATCH($J636,SorP!$B$1:$B$6230,0))))</f>
        <v/>
      </c>
      <c r="U636" s="241"/>
      <c r="V636" s="275" t="e">
        <f>IF(C636="",NA(),MATCH($B636&amp;$C636,'Smelter Look-up'!$J:$J,0))</f>
        <v>#N/A</v>
      </c>
      <c r="W636" s="276"/>
      <c r="X636" s="276">
        <f t="shared" ref="X636:X667" ca="1" si="94">IF(AND(C636="Smelter not listed",OR(LEN(D636)=0,LEN(E636)=0)),1,0)</f>
        <v>0</v>
      </c>
      <c r="Y636" s="276"/>
      <c r="Z636" s="276"/>
      <c r="AB636" s="278" t="str">
        <f t="shared" ref="AB636:AB667" si="95">B636&amp;C636</f>
        <v/>
      </c>
    </row>
    <row r="637" spans="1:28" s="277" customFormat="1" ht="20.25">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93"/>
        <v/>
      </c>
      <c r="T637" s="225" t="str">
        <f ca="1">IF(B637="","",IF(ISERROR(MATCH($J637,SorP!$B$1:$B$6230,0)),"",INDIRECT("'SorP'!$A$"&amp;MATCH($J637,SorP!$B$1:$B$6230,0))))</f>
        <v/>
      </c>
      <c r="U637" s="241"/>
      <c r="V637" s="275" t="e">
        <f>IF(C637="",NA(),MATCH($B637&amp;$C637,'Smelter Look-up'!$J:$J,0))</f>
        <v>#N/A</v>
      </c>
      <c r="W637" s="276"/>
      <c r="X637" s="276">
        <f t="shared" ca="1" si="94"/>
        <v>0</v>
      </c>
      <c r="Y637" s="276"/>
      <c r="Z637" s="276"/>
      <c r="AB637" s="278" t="str">
        <f t="shared" si="95"/>
        <v/>
      </c>
    </row>
    <row r="638" spans="1:28" s="277" customFormat="1" ht="20.25">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93"/>
        <v/>
      </c>
      <c r="T638" s="225" t="str">
        <f ca="1">IF(B638="","",IF(ISERROR(MATCH($J638,SorP!$B$1:$B$6230,0)),"",INDIRECT("'SorP'!$A$"&amp;MATCH($J638,SorP!$B$1:$B$6230,0))))</f>
        <v/>
      </c>
      <c r="U638" s="241"/>
      <c r="V638" s="275" t="e">
        <f>IF(C638="",NA(),MATCH($B638&amp;$C638,'Smelter Look-up'!$J:$J,0))</f>
        <v>#N/A</v>
      </c>
      <c r="W638" s="276"/>
      <c r="X638" s="276">
        <f t="shared" ca="1" si="94"/>
        <v>0</v>
      </c>
      <c r="Y638" s="276"/>
      <c r="Z638" s="276"/>
      <c r="AB638" s="278" t="str">
        <f t="shared" si="95"/>
        <v/>
      </c>
    </row>
    <row r="639" spans="1:28" s="277" customFormat="1" ht="20.25">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93"/>
        <v/>
      </c>
      <c r="T639" s="225" t="str">
        <f ca="1">IF(B639="","",IF(ISERROR(MATCH($J639,SorP!$B$1:$B$6230,0)),"",INDIRECT("'SorP'!$A$"&amp;MATCH($J639,SorP!$B$1:$B$6230,0))))</f>
        <v/>
      </c>
      <c r="U639" s="241"/>
      <c r="V639" s="275" t="e">
        <f>IF(C639="",NA(),MATCH($B639&amp;$C639,'Smelter Look-up'!$J:$J,0))</f>
        <v>#N/A</v>
      </c>
      <c r="W639" s="276"/>
      <c r="X639" s="276">
        <f t="shared" ca="1" si="94"/>
        <v>0</v>
      </c>
      <c r="Y639" s="276"/>
      <c r="Z639" s="276"/>
      <c r="AB639" s="278" t="str">
        <f t="shared" si="95"/>
        <v/>
      </c>
    </row>
    <row r="640" spans="1:28" s="277" customFormat="1" ht="20.25">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93"/>
        <v/>
      </c>
      <c r="T640" s="225" t="str">
        <f ca="1">IF(B640="","",IF(ISERROR(MATCH($J640,SorP!$B$1:$B$6230,0)),"",INDIRECT("'SorP'!$A$"&amp;MATCH($J640,SorP!$B$1:$B$6230,0))))</f>
        <v/>
      </c>
      <c r="U640" s="241"/>
      <c r="V640" s="275" t="e">
        <f>IF(C640="",NA(),MATCH($B640&amp;$C640,'Smelter Look-up'!$J:$J,0))</f>
        <v>#N/A</v>
      </c>
      <c r="W640" s="276"/>
      <c r="X640" s="276">
        <f t="shared" ca="1" si="94"/>
        <v>0</v>
      </c>
      <c r="Y640" s="276"/>
      <c r="Z640" s="276"/>
      <c r="AB640" s="278" t="str">
        <f t="shared" si="95"/>
        <v/>
      </c>
    </row>
    <row r="641" spans="1:28" s="277" customFormat="1" ht="20.25">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93"/>
        <v/>
      </c>
      <c r="T641" s="225" t="str">
        <f ca="1">IF(B641="","",IF(ISERROR(MATCH($J641,SorP!$B$1:$B$6230,0)),"",INDIRECT("'SorP'!$A$"&amp;MATCH($J641,SorP!$B$1:$B$6230,0))))</f>
        <v/>
      </c>
      <c r="U641" s="241"/>
      <c r="V641" s="275" t="e">
        <f>IF(C641="",NA(),MATCH($B641&amp;$C641,'Smelter Look-up'!$J:$J,0))</f>
        <v>#N/A</v>
      </c>
      <c r="W641" s="276"/>
      <c r="X641" s="276">
        <f t="shared" ca="1" si="94"/>
        <v>0</v>
      </c>
      <c r="Y641" s="276"/>
      <c r="Z641" s="276"/>
      <c r="AB641" s="278" t="str">
        <f t="shared" si="95"/>
        <v/>
      </c>
    </row>
    <row r="642" spans="1:28" s="277" customFormat="1" ht="20.25">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93"/>
        <v/>
      </c>
      <c r="T642" s="225" t="str">
        <f ca="1">IF(B642="","",IF(ISERROR(MATCH($J642,SorP!$B$1:$B$6230,0)),"",INDIRECT("'SorP'!$A$"&amp;MATCH($J642,SorP!$B$1:$B$6230,0))))</f>
        <v/>
      </c>
      <c r="U642" s="241"/>
      <c r="V642" s="275" t="e">
        <f>IF(C642="",NA(),MATCH($B642&amp;$C642,'Smelter Look-up'!$J:$J,0))</f>
        <v>#N/A</v>
      </c>
      <c r="W642" s="276"/>
      <c r="X642" s="276">
        <f t="shared" ca="1" si="94"/>
        <v>0</v>
      </c>
      <c r="Y642" s="276"/>
      <c r="Z642" s="276"/>
      <c r="AB642" s="278" t="str">
        <f t="shared" si="95"/>
        <v/>
      </c>
    </row>
    <row r="643" spans="1:28" s="277" customFormat="1" ht="20.25">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93"/>
        <v/>
      </c>
      <c r="T643" s="225" t="str">
        <f ca="1">IF(B643="","",IF(ISERROR(MATCH($J643,SorP!$B$1:$B$6230,0)),"",INDIRECT("'SorP'!$A$"&amp;MATCH($J643,SorP!$B$1:$B$6230,0))))</f>
        <v/>
      </c>
      <c r="U643" s="241"/>
      <c r="V643" s="275" t="e">
        <f>IF(C643="",NA(),MATCH($B643&amp;$C643,'Smelter Look-up'!$J:$J,0))</f>
        <v>#N/A</v>
      </c>
      <c r="W643" s="276"/>
      <c r="X643" s="276">
        <f t="shared" ca="1" si="94"/>
        <v>0</v>
      </c>
      <c r="Y643" s="276"/>
      <c r="Z643" s="276"/>
      <c r="AB643" s="278" t="str">
        <f t="shared" si="95"/>
        <v/>
      </c>
    </row>
    <row r="644" spans="1:28" s="277" customFormat="1" ht="20.25">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93"/>
        <v/>
      </c>
      <c r="T644" s="225" t="str">
        <f ca="1">IF(B644="","",IF(ISERROR(MATCH($J644,SorP!$B$1:$B$6230,0)),"",INDIRECT("'SorP'!$A$"&amp;MATCH($J644,SorP!$B$1:$B$6230,0))))</f>
        <v/>
      </c>
      <c r="U644" s="241"/>
      <c r="V644" s="275" t="e">
        <f>IF(C644="",NA(),MATCH($B644&amp;$C644,'Smelter Look-up'!$J:$J,0))</f>
        <v>#N/A</v>
      </c>
      <c r="W644" s="276"/>
      <c r="X644" s="276">
        <f t="shared" ca="1" si="94"/>
        <v>0</v>
      </c>
      <c r="Y644" s="276"/>
      <c r="Z644" s="276"/>
      <c r="AB644" s="278" t="str">
        <f t="shared" si="95"/>
        <v/>
      </c>
    </row>
    <row r="645" spans="1:28" s="277" customFormat="1" ht="20.25">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93"/>
        <v/>
      </c>
      <c r="T645" s="225" t="str">
        <f ca="1">IF(B645="","",IF(ISERROR(MATCH($J645,SorP!$B$1:$B$6230,0)),"",INDIRECT("'SorP'!$A$"&amp;MATCH($J645,SorP!$B$1:$B$6230,0))))</f>
        <v/>
      </c>
      <c r="U645" s="241"/>
      <c r="V645" s="275" t="e">
        <f>IF(C645="",NA(),MATCH($B645&amp;$C645,'Smelter Look-up'!$J:$J,0))</f>
        <v>#N/A</v>
      </c>
      <c r="W645" s="276"/>
      <c r="X645" s="276">
        <f t="shared" ca="1" si="94"/>
        <v>0</v>
      </c>
      <c r="Y645" s="276"/>
      <c r="Z645" s="276"/>
      <c r="AB645" s="278" t="str">
        <f t="shared" si="95"/>
        <v/>
      </c>
    </row>
    <row r="646" spans="1:28" s="277" customFormat="1" ht="20.25">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93"/>
        <v/>
      </c>
      <c r="T646" s="225" t="str">
        <f ca="1">IF(B646="","",IF(ISERROR(MATCH($J646,SorP!$B$1:$B$6230,0)),"",INDIRECT("'SorP'!$A$"&amp;MATCH($J646,SorP!$B$1:$B$6230,0))))</f>
        <v/>
      </c>
      <c r="U646" s="241"/>
      <c r="V646" s="275" t="e">
        <f>IF(C646="",NA(),MATCH($B646&amp;$C646,'Smelter Look-up'!$J:$J,0))</f>
        <v>#N/A</v>
      </c>
      <c r="W646" s="276"/>
      <c r="X646" s="276">
        <f t="shared" ca="1" si="94"/>
        <v>0</v>
      </c>
      <c r="Y646" s="276"/>
      <c r="Z646" s="276"/>
      <c r="AB646" s="278" t="str">
        <f t="shared" si="95"/>
        <v/>
      </c>
    </row>
    <row r="647" spans="1:28" s="277" customFormat="1" ht="20.25">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93"/>
        <v/>
      </c>
      <c r="T647" s="225" t="str">
        <f ca="1">IF(B647="","",IF(ISERROR(MATCH($J647,SorP!$B$1:$B$6230,0)),"",INDIRECT("'SorP'!$A$"&amp;MATCH($J647,SorP!$B$1:$B$6230,0))))</f>
        <v/>
      </c>
      <c r="U647" s="241"/>
      <c r="V647" s="275" t="e">
        <f>IF(C647="",NA(),MATCH($B647&amp;$C647,'Smelter Look-up'!$J:$J,0))</f>
        <v>#N/A</v>
      </c>
      <c r="W647" s="276"/>
      <c r="X647" s="276">
        <f t="shared" ca="1" si="94"/>
        <v>0</v>
      </c>
      <c r="Y647" s="276"/>
      <c r="Z647" s="276"/>
      <c r="AB647" s="278" t="str">
        <f t="shared" si="95"/>
        <v/>
      </c>
    </row>
    <row r="648" spans="1:28" s="277" customFormat="1" ht="20.25">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93"/>
        <v/>
      </c>
      <c r="T648" s="225" t="str">
        <f ca="1">IF(B648="","",IF(ISERROR(MATCH($J648,SorP!$B$1:$B$6230,0)),"",INDIRECT("'SorP'!$A$"&amp;MATCH($J648,SorP!$B$1:$B$6230,0))))</f>
        <v/>
      </c>
      <c r="U648" s="241"/>
      <c r="V648" s="275" t="e">
        <f>IF(C648="",NA(),MATCH($B648&amp;$C648,'Smelter Look-up'!$J:$J,0))</f>
        <v>#N/A</v>
      </c>
      <c r="W648" s="276"/>
      <c r="X648" s="276">
        <f t="shared" ca="1" si="94"/>
        <v>0</v>
      </c>
      <c r="Y648" s="276"/>
      <c r="Z648" s="276"/>
      <c r="AB648" s="278" t="str">
        <f t="shared" si="95"/>
        <v/>
      </c>
    </row>
    <row r="649" spans="1:28" s="277" customFormat="1" ht="20.25">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93"/>
        <v/>
      </c>
      <c r="T649" s="225" t="str">
        <f ca="1">IF(B649="","",IF(ISERROR(MATCH($J649,SorP!$B$1:$B$6230,0)),"",INDIRECT("'SorP'!$A$"&amp;MATCH($J649,SorP!$B$1:$B$6230,0))))</f>
        <v/>
      </c>
      <c r="U649" s="241"/>
      <c r="V649" s="275" t="e">
        <f>IF(C649="",NA(),MATCH($B649&amp;$C649,'Smelter Look-up'!$J:$J,0))</f>
        <v>#N/A</v>
      </c>
      <c r="W649" s="276"/>
      <c r="X649" s="276">
        <f t="shared" ca="1" si="94"/>
        <v>0</v>
      </c>
      <c r="Y649" s="276"/>
      <c r="Z649" s="276"/>
      <c r="AB649" s="278" t="str">
        <f t="shared" si="95"/>
        <v/>
      </c>
    </row>
    <row r="650" spans="1:28" s="277" customFormat="1" ht="20.25">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93"/>
        <v/>
      </c>
      <c r="T650" s="225" t="str">
        <f ca="1">IF(B650="","",IF(ISERROR(MATCH($J650,SorP!$B$1:$B$6230,0)),"",INDIRECT("'SorP'!$A$"&amp;MATCH($J650,SorP!$B$1:$B$6230,0))))</f>
        <v/>
      </c>
      <c r="U650" s="241"/>
      <c r="V650" s="275" t="e">
        <f>IF(C650="",NA(),MATCH($B650&amp;$C650,'Smelter Look-up'!$J:$J,0))</f>
        <v>#N/A</v>
      </c>
      <c r="W650" s="276"/>
      <c r="X650" s="276">
        <f t="shared" ca="1" si="94"/>
        <v>0</v>
      </c>
      <c r="Y650" s="276"/>
      <c r="Z650" s="276"/>
      <c r="AB650" s="278" t="str">
        <f t="shared" si="95"/>
        <v/>
      </c>
    </row>
    <row r="651" spans="1:28" s="277" customFormat="1" ht="20.25">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93"/>
        <v/>
      </c>
      <c r="T651" s="225" t="str">
        <f ca="1">IF(B651="","",IF(ISERROR(MATCH($J651,SorP!$B$1:$B$6230,0)),"",INDIRECT("'SorP'!$A$"&amp;MATCH($J651,SorP!$B$1:$B$6230,0))))</f>
        <v/>
      </c>
      <c r="U651" s="241"/>
      <c r="V651" s="275" t="e">
        <f>IF(C651="",NA(),MATCH($B651&amp;$C651,'Smelter Look-up'!$J:$J,0))</f>
        <v>#N/A</v>
      </c>
      <c r="W651" s="276"/>
      <c r="X651" s="276">
        <f t="shared" ca="1" si="94"/>
        <v>0</v>
      </c>
      <c r="Y651" s="276"/>
      <c r="Z651" s="276"/>
      <c r="AB651" s="278" t="str">
        <f t="shared" si="95"/>
        <v/>
      </c>
    </row>
    <row r="652" spans="1:28" s="277" customFormat="1" ht="20.25">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93"/>
        <v/>
      </c>
      <c r="T652" s="225" t="str">
        <f ca="1">IF(B652="","",IF(ISERROR(MATCH($J652,SorP!$B$1:$B$6230,0)),"",INDIRECT("'SorP'!$A$"&amp;MATCH($J652,SorP!$B$1:$B$6230,0))))</f>
        <v/>
      </c>
      <c r="U652" s="241"/>
      <c r="V652" s="275" t="e">
        <f>IF(C652="",NA(),MATCH($B652&amp;$C652,'Smelter Look-up'!$J:$J,0))</f>
        <v>#N/A</v>
      </c>
      <c r="W652" s="276"/>
      <c r="X652" s="276">
        <f t="shared" ca="1" si="94"/>
        <v>0</v>
      </c>
      <c r="Y652" s="276"/>
      <c r="Z652" s="276"/>
      <c r="AB652" s="278" t="str">
        <f t="shared" si="95"/>
        <v/>
      </c>
    </row>
    <row r="653" spans="1:28" s="277" customFormat="1" ht="20.25">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93"/>
        <v/>
      </c>
      <c r="T653" s="225" t="str">
        <f ca="1">IF(B653="","",IF(ISERROR(MATCH($J653,SorP!$B$1:$B$6230,0)),"",INDIRECT("'SorP'!$A$"&amp;MATCH($J653,SorP!$B$1:$B$6230,0))))</f>
        <v/>
      </c>
      <c r="U653" s="241"/>
      <c r="V653" s="275" t="e">
        <f>IF(C653="",NA(),MATCH($B653&amp;$C653,'Smelter Look-up'!$J:$J,0))</f>
        <v>#N/A</v>
      </c>
      <c r="W653" s="276"/>
      <c r="X653" s="276">
        <f t="shared" ca="1" si="94"/>
        <v>0</v>
      </c>
      <c r="Y653" s="276"/>
      <c r="Z653" s="276"/>
      <c r="AB653" s="278" t="str">
        <f t="shared" si="95"/>
        <v/>
      </c>
    </row>
    <row r="654" spans="1:28" s="277" customFormat="1" ht="20.25">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93"/>
        <v/>
      </c>
      <c r="T654" s="225" t="str">
        <f ca="1">IF(B654="","",IF(ISERROR(MATCH($J654,SorP!$B$1:$B$6230,0)),"",INDIRECT("'SorP'!$A$"&amp;MATCH($J654,SorP!$B$1:$B$6230,0))))</f>
        <v/>
      </c>
      <c r="U654" s="241"/>
      <c r="V654" s="275" t="e">
        <f>IF(C654="",NA(),MATCH($B654&amp;$C654,'Smelter Look-up'!$J:$J,0))</f>
        <v>#N/A</v>
      </c>
      <c r="W654" s="276"/>
      <c r="X654" s="276">
        <f t="shared" ca="1" si="94"/>
        <v>0</v>
      </c>
      <c r="Y654" s="276"/>
      <c r="Z654" s="276"/>
      <c r="AB654" s="278" t="str">
        <f t="shared" si="95"/>
        <v/>
      </c>
    </row>
    <row r="655" spans="1:28" s="277" customFormat="1" ht="20.25">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93"/>
        <v/>
      </c>
      <c r="T655" s="225" t="str">
        <f ca="1">IF(B655="","",IF(ISERROR(MATCH($J655,SorP!$B$1:$B$6230,0)),"",INDIRECT("'SorP'!$A$"&amp;MATCH($J655,SorP!$B$1:$B$6230,0))))</f>
        <v/>
      </c>
      <c r="U655" s="241"/>
      <c r="V655" s="275" t="e">
        <f>IF(C655="",NA(),MATCH($B655&amp;$C655,'Smelter Look-up'!$J:$J,0))</f>
        <v>#N/A</v>
      </c>
      <c r="W655" s="276"/>
      <c r="X655" s="276">
        <f t="shared" ca="1" si="94"/>
        <v>0</v>
      </c>
      <c r="Y655" s="276"/>
      <c r="Z655" s="276"/>
      <c r="AB655" s="278" t="str">
        <f t="shared" si="95"/>
        <v/>
      </c>
    </row>
    <row r="656" spans="1:28" s="277" customFormat="1" ht="20.25">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ca="1" si="93"/>
        <v/>
      </c>
      <c r="T656" s="225" t="str">
        <f ca="1">IF(B656="","",IF(ISERROR(MATCH($J656,SorP!$B$1:$B$6230,0)),"",INDIRECT("'SorP'!$A$"&amp;MATCH($J656,SorP!$B$1:$B$6230,0))))</f>
        <v/>
      </c>
      <c r="U656" s="241"/>
      <c r="V656" s="275" t="e">
        <f>IF(C656="",NA(),MATCH($B656&amp;$C656,'Smelter Look-up'!$J:$J,0))</f>
        <v>#N/A</v>
      </c>
      <c r="W656" s="276"/>
      <c r="X656" s="276">
        <f t="shared" ca="1" si="94"/>
        <v>0</v>
      </c>
      <c r="Y656" s="276"/>
      <c r="Z656" s="276"/>
      <c r="AB656" s="278" t="str">
        <f t="shared" si="95"/>
        <v/>
      </c>
    </row>
    <row r="657" spans="1:28" s="277" customFormat="1" ht="20.25">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93"/>
        <v/>
      </c>
      <c r="T657" s="225" t="str">
        <f ca="1">IF(B657="","",IF(ISERROR(MATCH($J657,SorP!$B$1:$B$6230,0)),"",INDIRECT("'SorP'!$A$"&amp;MATCH($J657,SorP!$B$1:$B$6230,0))))</f>
        <v/>
      </c>
      <c r="U657" s="241"/>
      <c r="V657" s="275" t="e">
        <f>IF(C657="",NA(),MATCH($B657&amp;$C657,'Smelter Look-up'!$J:$J,0))</f>
        <v>#N/A</v>
      </c>
      <c r="W657" s="276"/>
      <c r="X657" s="276">
        <f t="shared" ca="1" si="94"/>
        <v>0</v>
      </c>
      <c r="Y657" s="276"/>
      <c r="Z657" s="276"/>
      <c r="AB657" s="278" t="str">
        <f t="shared" si="95"/>
        <v/>
      </c>
    </row>
    <row r="658" spans="1:28" s="277" customFormat="1" ht="20.25">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ca="1" si="93"/>
        <v/>
      </c>
      <c r="T658" s="225" t="str">
        <f ca="1">IF(B658="","",IF(ISERROR(MATCH($J658,SorP!$B$1:$B$6230,0)),"",INDIRECT("'SorP'!$A$"&amp;MATCH($J658,SorP!$B$1:$B$6230,0))))</f>
        <v/>
      </c>
      <c r="U658" s="241"/>
      <c r="V658" s="275" t="e">
        <f>IF(C658="",NA(),MATCH($B658&amp;$C658,'Smelter Look-up'!$J:$J,0))</f>
        <v>#N/A</v>
      </c>
      <c r="W658" s="276"/>
      <c r="X658" s="276">
        <f t="shared" ca="1" si="94"/>
        <v>0</v>
      </c>
      <c r="Y658" s="276"/>
      <c r="Z658" s="276"/>
      <c r="AB658" s="278" t="str">
        <f t="shared" si="95"/>
        <v/>
      </c>
    </row>
    <row r="659" spans="1:28" s="277" customFormat="1" ht="20.25">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93"/>
        <v/>
      </c>
      <c r="T659" s="225" t="str">
        <f ca="1">IF(B659="","",IF(ISERROR(MATCH($J659,SorP!$B$1:$B$6230,0)),"",INDIRECT("'SorP'!$A$"&amp;MATCH($J659,SorP!$B$1:$B$6230,0))))</f>
        <v/>
      </c>
      <c r="U659" s="241"/>
      <c r="V659" s="275" t="e">
        <f>IF(C659="",NA(),MATCH($B659&amp;$C659,'Smelter Look-up'!$J:$J,0))</f>
        <v>#N/A</v>
      </c>
      <c r="W659" s="276"/>
      <c r="X659" s="276">
        <f t="shared" ca="1" si="94"/>
        <v>0</v>
      </c>
      <c r="Y659" s="276"/>
      <c r="Z659" s="276"/>
      <c r="AB659" s="278" t="str">
        <f t="shared" si="95"/>
        <v/>
      </c>
    </row>
    <row r="660" spans="1:28" s="277" customFormat="1" ht="20.25">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93"/>
        <v/>
      </c>
      <c r="T660" s="225" t="str">
        <f ca="1">IF(B660="","",IF(ISERROR(MATCH($J660,SorP!$B$1:$B$6230,0)),"",INDIRECT("'SorP'!$A$"&amp;MATCH($J660,SorP!$B$1:$B$6230,0))))</f>
        <v/>
      </c>
      <c r="U660" s="241"/>
      <c r="V660" s="275" t="e">
        <f>IF(C660="",NA(),MATCH($B660&amp;$C660,'Smelter Look-up'!$J:$J,0))</f>
        <v>#N/A</v>
      </c>
      <c r="W660" s="276"/>
      <c r="X660" s="276">
        <f t="shared" ca="1" si="94"/>
        <v>0</v>
      </c>
      <c r="Y660" s="276"/>
      <c r="Z660" s="276"/>
      <c r="AB660" s="278" t="str">
        <f t="shared" si="95"/>
        <v/>
      </c>
    </row>
    <row r="661" spans="1:28" s="277" customFormat="1" ht="20.25">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93"/>
        <v/>
      </c>
      <c r="T661" s="225" t="str">
        <f ca="1">IF(B661="","",IF(ISERROR(MATCH($J661,SorP!$B$1:$B$6230,0)),"",INDIRECT("'SorP'!$A$"&amp;MATCH($J661,SorP!$B$1:$B$6230,0))))</f>
        <v/>
      </c>
      <c r="U661" s="241"/>
      <c r="V661" s="275" t="e">
        <f>IF(C661="",NA(),MATCH($B661&amp;$C661,'Smelter Look-up'!$J:$J,0))</f>
        <v>#N/A</v>
      </c>
      <c r="W661" s="276"/>
      <c r="X661" s="276">
        <f t="shared" ca="1" si="94"/>
        <v>0</v>
      </c>
      <c r="Y661" s="276"/>
      <c r="Z661" s="276"/>
      <c r="AB661" s="278" t="str">
        <f t="shared" si="95"/>
        <v/>
      </c>
    </row>
    <row r="662" spans="1:28" s="277" customFormat="1" ht="20.25">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93"/>
        <v/>
      </c>
      <c r="T662" s="225" t="str">
        <f ca="1">IF(B662="","",IF(ISERROR(MATCH($J662,SorP!$B$1:$B$6230,0)),"",INDIRECT("'SorP'!$A$"&amp;MATCH($J662,SorP!$B$1:$B$6230,0))))</f>
        <v/>
      </c>
      <c r="U662" s="241"/>
      <c r="V662" s="275" t="e">
        <f>IF(C662="",NA(),MATCH($B662&amp;$C662,'Smelter Look-up'!$J:$J,0))</f>
        <v>#N/A</v>
      </c>
      <c r="W662" s="276"/>
      <c r="X662" s="276">
        <f t="shared" ca="1" si="94"/>
        <v>0</v>
      </c>
      <c r="Y662" s="276"/>
      <c r="Z662" s="276"/>
      <c r="AB662" s="278" t="str">
        <f t="shared" si="95"/>
        <v/>
      </c>
    </row>
    <row r="663" spans="1:28" s="277" customFormat="1" ht="20.25">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93"/>
        <v/>
      </c>
      <c r="T663" s="225" t="str">
        <f ca="1">IF(B663="","",IF(ISERROR(MATCH($J663,SorP!$B$1:$B$6230,0)),"",INDIRECT("'SorP'!$A$"&amp;MATCH($J663,SorP!$B$1:$B$6230,0))))</f>
        <v/>
      </c>
      <c r="U663" s="241"/>
      <c r="V663" s="275" t="e">
        <f>IF(C663="",NA(),MATCH($B663&amp;$C663,'Smelter Look-up'!$J:$J,0))</f>
        <v>#N/A</v>
      </c>
      <c r="W663" s="276"/>
      <c r="X663" s="276">
        <f t="shared" ca="1" si="94"/>
        <v>0</v>
      </c>
      <c r="Y663" s="276"/>
      <c r="Z663" s="276"/>
      <c r="AB663" s="278" t="str">
        <f t="shared" si="95"/>
        <v/>
      </c>
    </row>
    <row r="664" spans="1:28" s="277" customFormat="1" ht="20.25">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93"/>
        <v/>
      </c>
      <c r="T664" s="225" t="str">
        <f ca="1">IF(B664="","",IF(ISERROR(MATCH($J664,SorP!$B$1:$B$6230,0)),"",INDIRECT("'SorP'!$A$"&amp;MATCH($J664,SorP!$B$1:$B$6230,0))))</f>
        <v/>
      </c>
      <c r="U664" s="241"/>
      <c r="V664" s="275" t="e">
        <f>IF(C664="",NA(),MATCH($B664&amp;$C664,'Smelter Look-up'!$J:$J,0))</f>
        <v>#N/A</v>
      </c>
      <c r="W664" s="276"/>
      <c r="X664" s="276">
        <f t="shared" ca="1" si="94"/>
        <v>0</v>
      </c>
      <c r="Y664" s="276"/>
      <c r="Z664" s="276"/>
      <c r="AB664" s="278" t="str">
        <f t="shared" si="95"/>
        <v/>
      </c>
    </row>
    <row r="665" spans="1:28" s="277" customFormat="1" ht="20.25">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93"/>
        <v/>
      </c>
      <c r="T665" s="225" t="str">
        <f ca="1">IF(B665="","",IF(ISERROR(MATCH($J665,SorP!$B$1:$B$6230,0)),"",INDIRECT("'SorP'!$A$"&amp;MATCH($J665,SorP!$B$1:$B$6230,0))))</f>
        <v/>
      </c>
      <c r="U665" s="241"/>
      <c r="V665" s="275" t="e">
        <f>IF(C665="",NA(),MATCH($B665&amp;$C665,'Smelter Look-up'!$J:$J,0))</f>
        <v>#N/A</v>
      </c>
      <c r="W665" s="276"/>
      <c r="X665" s="276">
        <f t="shared" ca="1" si="94"/>
        <v>0</v>
      </c>
      <c r="Y665" s="276"/>
      <c r="Z665" s="276"/>
      <c r="AB665" s="278" t="str">
        <f t="shared" si="95"/>
        <v/>
      </c>
    </row>
    <row r="666" spans="1:28" s="277" customFormat="1" ht="20.25">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93"/>
        <v/>
      </c>
      <c r="T666" s="225" t="str">
        <f ca="1">IF(B666="","",IF(ISERROR(MATCH($J666,SorP!$B$1:$B$6230,0)),"",INDIRECT("'SorP'!$A$"&amp;MATCH($J666,SorP!$B$1:$B$6230,0))))</f>
        <v/>
      </c>
      <c r="U666" s="241"/>
      <c r="V666" s="275" t="e">
        <f>IF(C666="",NA(),MATCH($B666&amp;$C666,'Smelter Look-up'!$J:$J,0))</f>
        <v>#N/A</v>
      </c>
      <c r="W666" s="276"/>
      <c r="X666" s="276">
        <f t="shared" ca="1" si="94"/>
        <v>0</v>
      </c>
      <c r="Y666" s="276"/>
      <c r="Z666" s="276"/>
      <c r="AB666" s="278" t="str">
        <f t="shared" si="95"/>
        <v/>
      </c>
    </row>
    <row r="667" spans="1:28" s="277" customFormat="1" ht="20.25">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ca="1" si="93"/>
        <v/>
      </c>
      <c r="T667" s="225" t="str">
        <f ca="1">IF(B667="","",IF(ISERROR(MATCH($J667,SorP!$B$1:$B$6230,0)),"",INDIRECT("'SorP'!$A$"&amp;MATCH($J667,SorP!$B$1:$B$6230,0))))</f>
        <v/>
      </c>
      <c r="U667" s="241"/>
      <c r="V667" s="275" t="e">
        <f>IF(C667="",NA(),MATCH($B667&amp;$C667,'Smelter Look-up'!$J:$J,0))</f>
        <v>#N/A</v>
      </c>
      <c r="W667" s="276"/>
      <c r="X667" s="276">
        <f t="shared" ca="1" si="94"/>
        <v>0</v>
      </c>
      <c r="Y667" s="276"/>
      <c r="Z667" s="276"/>
      <c r="AB667" s="278" t="str">
        <f t="shared" si="95"/>
        <v/>
      </c>
    </row>
    <row r="668" spans="1:28" s="277" customFormat="1" ht="20.25">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ref="S668:S698" ca="1" si="96">IF(B668="","",IF(ISERROR(MATCH($E668,CL,0)),"Unknown",INDIRECT("'C'!$A$"&amp;MATCH($E668,CL,0)+1)))</f>
        <v/>
      </c>
      <c r="T668" s="225" t="str">
        <f ca="1">IF(B668="","",IF(ISERROR(MATCH($J668,SorP!$B$1:$B$6230,0)),"",INDIRECT("'SorP'!$A$"&amp;MATCH($J668,SorP!$B$1:$B$6230,0))))</f>
        <v/>
      </c>
      <c r="U668" s="241"/>
      <c r="V668" s="275" t="e">
        <f>IF(C668="",NA(),MATCH($B668&amp;$C668,'Smelter Look-up'!$J:$J,0))</f>
        <v>#N/A</v>
      </c>
      <c r="W668" s="276"/>
      <c r="X668" s="276">
        <f t="shared" ref="X668:X698" ca="1" si="97">IF(AND(C668="Smelter not listed",OR(LEN(D668)=0,LEN(E668)=0)),1,0)</f>
        <v>0</v>
      </c>
      <c r="Y668" s="276"/>
      <c r="Z668" s="276"/>
      <c r="AB668" s="278" t="str">
        <f t="shared" ref="AB668:AB698" si="98">B668&amp;C668</f>
        <v/>
      </c>
    </row>
    <row r="669" spans="1:28" s="277" customFormat="1" ht="20.25">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96"/>
        <v/>
      </c>
      <c r="T669" s="225" t="str">
        <f ca="1">IF(B669="","",IF(ISERROR(MATCH($J669,SorP!$B$1:$B$6230,0)),"",INDIRECT("'SorP'!$A$"&amp;MATCH($J669,SorP!$B$1:$B$6230,0))))</f>
        <v/>
      </c>
      <c r="U669" s="241"/>
      <c r="V669" s="275" t="e">
        <f>IF(C669="",NA(),MATCH($B669&amp;$C669,'Smelter Look-up'!$J:$J,0))</f>
        <v>#N/A</v>
      </c>
      <c r="W669" s="276"/>
      <c r="X669" s="276">
        <f t="shared" ca="1" si="97"/>
        <v>0</v>
      </c>
      <c r="Y669" s="276"/>
      <c r="Z669" s="276"/>
      <c r="AB669" s="278" t="str">
        <f t="shared" si="98"/>
        <v/>
      </c>
    </row>
    <row r="670" spans="1:28" s="277" customFormat="1" ht="20.25">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96"/>
        <v/>
      </c>
      <c r="T670" s="225" t="str">
        <f ca="1">IF(B670="","",IF(ISERROR(MATCH($J670,SorP!$B$1:$B$6230,0)),"",INDIRECT("'SorP'!$A$"&amp;MATCH($J670,SorP!$B$1:$B$6230,0))))</f>
        <v/>
      </c>
      <c r="U670" s="241"/>
      <c r="V670" s="275" t="e">
        <f>IF(C670="",NA(),MATCH($B670&amp;$C670,'Smelter Look-up'!$J:$J,0))</f>
        <v>#N/A</v>
      </c>
      <c r="W670" s="276"/>
      <c r="X670" s="276">
        <f t="shared" ca="1" si="97"/>
        <v>0</v>
      </c>
      <c r="Y670" s="276"/>
      <c r="Z670" s="276"/>
      <c r="AB670" s="278" t="str">
        <f t="shared" si="98"/>
        <v/>
      </c>
    </row>
    <row r="671" spans="1:28" s="277" customFormat="1" ht="20.25">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96"/>
        <v/>
      </c>
      <c r="T671" s="225" t="str">
        <f ca="1">IF(B671="","",IF(ISERROR(MATCH($J671,SorP!$B$1:$B$6230,0)),"",INDIRECT("'SorP'!$A$"&amp;MATCH($J671,SorP!$B$1:$B$6230,0))))</f>
        <v/>
      </c>
      <c r="U671" s="241"/>
      <c r="V671" s="275" t="e">
        <f>IF(C671="",NA(),MATCH($B671&amp;$C671,'Smelter Look-up'!$J:$J,0))</f>
        <v>#N/A</v>
      </c>
      <c r="W671" s="276"/>
      <c r="X671" s="276">
        <f t="shared" ca="1" si="97"/>
        <v>0</v>
      </c>
      <c r="Y671" s="276"/>
      <c r="Z671" s="276"/>
      <c r="AB671" s="278" t="str">
        <f t="shared" si="98"/>
        <v/>
      </c>
    </row>
    <row r="672" spans="1:28" s="277" customFormat="1" ht="20.25">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96"/>
        <v/>
      </c>
      <c r="T672" s="225" t="str">
        <f ca="1">IF(B672="","",IF(ISERROR(MATCH($J672,SorP!$B$1:$B$6230,0)),"",INDIRECT("'SorP'!$A$"&amp;MATCH($J672,SorP!$B$1:$B$6230,0))))</f>
        <v/>
      </c>
      <c r="U672" s="241"/>
      <c r="V672" s="275" t="e">
        <f>IF(C672="",NA(),MATCH($B672&amp;$C672,'Smelter Look-up'!$J:$J,0))</f>
        <v>#N/A</v>
      </c>
      <c r="W672" s="276"/>
      <c r="X672" s="276">
        <f t="shared" ca="1" si="97"/>
        <v>0</v>
      </c>
      <c r="Y672" s="276"/>
      <c r="Z672" s="276"/>
      <c r="AB672" s="278" t="str">
        <f t="shared" si="98"/>
        <v/>
      </c>
    </row>
    <row r="673" spans="1:28" s="277" customFormat="1" ht="20.25">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96"/>
        <v/>
      </c>
      <c r="T673" s="225" t="str">
        <f ca="1">IF(B673="","",IF(ISERROR(MATCH($J673,SorP!$B$1:$B$6230,0)),"",INDIRECT("'SorP'!$A$"&amp;MATCH($J673,SorP!$B$1:$B$6230,0))))</f>
        <v/>
      </c>
      <c r="U673" s="241"/>
      <c r="V673" s="275" t="e">
        <f>IF(C673="",NA(),MATCH($B673&amp;$C673,'Smelter Look-up'!$J:$J,0))</f>
        <v>#N/A</v>
      </c>
      <c r="W673" s="276"/>
      <c r="X673" s="276">
        <f t="shared" ca="1" si="97"/>
        <v>0</v>
      </c>
      <c r="Y673" s="276"/>
      <c r="Z673" s="276"/>
      <c r="AB673" s="278" t="str">
        <f t="shared" si="98"/>
        <v/>
      </c>
    </row>
    <row r="674" spans="1:28" s="277" customFormat="1" ht="20.25">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96"/>
        <v/>
      </c>
      <c r="T674" s="225" t="str">
        <f ca="1">IF(B674="","",IF(ISERROR(MATCH($J674,SorP!$B$1:$B$6230,0)),"",INDIRECT("'SorP'!$A$"&amp;MATCH($J674,SorP!$B$1:$B$6230,0))))</f>
        <v/>
      </c>
      <c r="U674" s="241"/>
      <c r="V674" s="275" t="e">
        <f>IF(C674="",NA(),MATCH($B674&amp;$C674,'Smelter Look-up'!$J:$J,0))</f>
        <v>#N/A</v>
      </c>
      <c r="W674" s="276"/>
      <c r="X674" s="276">
        <f t="shared" ca="1" si="97"/>
        <v>0</v>
      </c>
      <c r="Y674" s="276"/>
      <c r="Z674" s="276"/>
      <c r="AB674" s="278" t="str">
        <f t="shared" si="98"/>
        <v/>
      </c>
    </row>
    <row r="675" spans="1:28" s="277" customFormat="1" ht="20.25">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96"/>
        <v/>
      </c>
      <c r="T675" s="225" t="str">
        <f ca="1">IF(B675="","",IF(ISERROR(MATCH($J675,SorP!$B$1:$B$6230,0)),"",INDIRECT("'SorP'!$A$"&amp;MATCH($J675,SorP!$B$1:$B$6230,0))))</f>
        <v/>
      </c>
      <c r="U675" s="241"/>
      <c r="V675" s="275" t="e">
        <f>IF(C675="",NA(),MATCH($B675&amp;$C675,'Smelter Look-up'!$J:$J,0))</f>
        <v>#N/A</v>
      </c>
      <c r="W675" s="276"/>
      <c r="X675" s="276">
        <f t="shared" ca="1" si="97"/>
        <v>0</v>
      </c>
      <c r="Y675" s="276"/>
      <c r="Z675" s="276"/>
      <c r="AB675" s="278" t="str">
        <f t="shared" si="98"/>
        <v/>
      </c>
    </row>
    <row r="676" spans="1:28" s="277" customFormat="1" ht="20.25">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96"/>
        <v/>
      </c>
      <c r="T676" s="225" t="str">
        <f ca="1">IF(B676="","",IF(ISERROR(MATCH($J676,SorP!$B$1:$B$6230,0)),"",INDIRECT("'SorP'!$A$"&amp;MATCH($J676,SorP!$B$1:$B$6230,0))))</f>
        <v/>
      </c>
      <c r="U676" s="241"/>
      <c r="V676" s="275" t="e">
        <f>IF(C676="",NA(),MATCH($B676&amp;$C676,'Smelter Look-up'!$J:$J,0))</f>
        <v>#N/A</v>
      </c>
      <c r="W676" s="276"/>
      <c r="X676" s="276">
        <f t="shared" ca="1" si="97"/>
        <v>0</v>
      </c>
      <c r="Y676" s="276"/>
      <c r="Z676" s="276"/>
      <c r="AB676" s="278" t="str">
        <f t="shared" si="98"/>
        <v/>
      </c>
    </row>
    <row r="677" spans="1:28" s="277" customFormat="1" ht="20.25">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96"/>
        <v/>
      </c>
      <c r="T677" s="225" t="str">
        <f ca="1">IF(B677="","",IF(ISERROR(MATCH($J677,SorP!$B$1:$B$6230,0)),"",INDIRECT("'SorP'!$A$"&amp;MATCH($J677,SorP!$B$1:$B$6230,0))))</f>
        <v/>
      </c>
      <c r="U677" s="241"/>
      <c r="V677" s="275" t="e">
        <f>IF(C677="",NA(),MATCH($B677&amp;$C677,'Smelter Look-up'!$J:$J,0))</f>
        <v>#N/A</v>
      </c>
      <c r="W677" s="276"/>
      <c r="X677" s="276">
        <f t="shared" ca="1" si="97"/>
        <v>0</v>
      </c>
      <c r="Y677" s="276"/>
      <c r="Z677" s="276"/>
      <c r="AB677" s="278" t="str">
        <f t="shared" si="98"/>
        <v/>
      </c>
    </row>
    <row r="678" spans="1:28" s="277" customFormat="1" ht="20.25">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96"/>
        <v/>
      </c>
      <c r="T678" s="225" t="str">
        <f ca="1">IF(B678="","",IF(ISERROR(MATCH($J678,SorP!$B$1:$B$6230,0)),"",INDIRECT("'SorP'!$A$"&amp;MATCH($J678,SorP!$B$1:$B$6230,0))))</f>
        <v/>
      </c>
      <c r="U678" s="241"/>
      <c r="V678" s="275" t="e">
        <f>IF(C678="",NA(),MATCH($B678&amp;$C678,'Smelter Look-up'!$J:$J,0))</f>
        <v>#N/A</v>
      </c>
      <c r="W678" s="276"/>
      <c r="X678" s="276">
        <f t="shared" ca="1" si="97"/>
        <v>0</v>
      </c>
      <c r="Y678" s="276"/>
      <c r="Z678" s="276"/>
      <c r="AB678" s="278" t="str">
        <f t="shared" si="98"/>
        <v/>
      </c>
    </row>
    <row r="679" spans="1:28" s="277" customFormat="1" ht="20.25">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96"/>
        <v/>
      </c>
      <c r="T679" s="225" t="str">
        <f ca="1">IF(B679="","",IF(ISERROR(MATCH($J679,SorP!$B$1:$B$6230,0)),"",INDIRECT("'SorP'!$A$"&amp;MATCH($J679,SorP!$B$1:$B$6230,0))))</f>
        <v/>
      </c>
      <c r="U679" s="241"/>
      <c r="V679" s="275" t="e">
        <f>IF(C679="",NA(),MATCH($B679&amp;$C679,'Smelter Look-up'!$J:$J,0))</f>
        <v>#N/A</v>
      </c>
      <c r="W679" s="276"/>
      <c r="X679" s="276">
        <f t="shared" ca="1" si="97"/>
        <v>0</v>
      </c>
      <c r="Y679" s="276"/>
      <c r="Z679" s="276"/>
      <c r="AB679" s="278" t="str">
        <f t="shared" si="98"/>
        <v/>
      </c>
    </row>
    <row r="680" spans="1:28" s="277" customFormat="1" ht="20.25">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96"/>
        <v/>
      </c>
      <c r="T680" s="225" t="str">
        <f ca="1">IF(B680="","",IF(ISERROR(MATCH($J680,SorP!$B$1:$B$6230,0)),"",INDIRECT("'SorP'!$A$"&amp;MATCH($J680,SorP!$B$1:$B$6230,0))))</f>
        <v/>
      </c>
      <c r="U680" s="241"/>
      <c r="V680" s="275" t="e">
        <f>IF(C680="",NA(),MATCH($B680&amp;$C680,'Smelter Look-up'!$J:$J,0))</f>
        <v>#N/A</v>
      </c>
      <c r="W680" s="276"/>
      <c r="X680" s="276">
        <f t="shared" ca="1" si="97"/>
        <v>0</v>
      </c>
      <c r="Y680" s="276"/>
      <c r="Z680" s="276"/>
      <c r="AB680" s="278" t="str">
        <f t="shared" si="98"/>
        <v/>
      </c>
    </row>
    <row r="681" spans="1:28" s="277" customFormat="1" ht="20.25">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96"/>
        <v/>
      </c>
      <c r="T681" s="225" t="str">
        <f ca="1">IF(B681="","",IF(ISERROR(MATCH($J681,SorP!$B$1:$B$6230,0)),"",INDIRECT("'SorP'!$A$"&amp;MATCH($J681,SorP!$B$1:$B$6230,0))))</f>
        <v/>
      </c>
      <c r="U681" s="241"/>
      <c r="V681" s="275" t="e">
        <f>IF(C681="",NA(),MATCH($B681&amp;$C681,'Smelter Look-up'!$J:$J,0))</f>
        <v>#N/A</v>
      </c>
      <c r="W681" s="276"/>
      <c r="X681" s="276">
        <f t="shared" ca="1" si="97"/>
        <v>0</v>
      </c>
      <c r="Y681" s="276"/>
      <c r="Z681" s="276"/>
      <c r="AB681" s="278" t="str">
        <f t="shared" si="98"/>
        <v/>
      </c>
    </row>
    <row r="682" spans="1:28" s="277" customFormat="1" ht="20.25">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96"/>
        <v/>
      </c>
      <c r="T682" s="225" t="str">
        <f ca="1">IF(B682="","",IF(ISERROR(MATCH($J682,SorP!$B$1:$B$6230,0)),"",INDIRECT("'SorP'!$A$"&amp;MATCH($J682,SorP!$B$1:$B$6230,0))))</f>
        <v/>
      </c>
      <c r="U682" s="241"/>
      <c r="V682" s="275" t="e">
        <f>IF(C682="",NA(),MATCH($B682&amp;$C682,'Smelter Look-up'!$J:$J,0))</f>
        <v>#N/A</v>
      </c>
      <c r="W682" s="276"/>
      <c r="X682" s="276">
        <f t="shared" ca="1" si="97"/>
        <v>0</v>
      </c>
      <c r="Y682" s="276"/>
      <c r="Z682" s="276"/>
      <c r="AB682" s="278" t="str">
        <f t="shared" si="98"/>
        <v/>
      </c>
    </row>
    <row r="683" spans="1:28" s="277" customFormat="1" ht="20.25">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96"/>
        <v/>
      </c>
      <c r="T683" s="225" t="str">
        <f ca="1">IF(B683="","",IF(ISERROR(MATCH($J683,SorP!$B$1:$B$6230,0)),"",INDIRECT("'SorP'!$A$"&amp;MATCH($J683,SorP!$B$1:$B$6230,0))))</f>
        <v/>
      </c>
      <c r="U683" s="241"/>
      <c r="V683" s="275" t="e">
        <f>IF(C683="",NA(),MATCH($B683&amp;$C683,'Smelter Look-up'!$J:$J,0))</f>
        <v>#N/A</v>
      </c>
      <c r="W683" s="276"/>
      <c r="X683" s="276">
        <f t="shared" ca="1" si="97"/>
        <v>0</v>
      </c>
      <c r="Y683" s="276"/>
      <c r="Z683" s="276"/>
      <c r="AB683" s="278" t="str">
        <f t="shared" si="98"/>
        <v/>
      </c>
    </row>
    <row r="684" spans="1:28" s="277" customFormat="1" ht="20.25">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96"/>
        <v/>
      </c>
      <c r="T684" s="225" t="str">
        <f ca="1">IF(B684="","",IF(ISERROR(MATCH($J684,SorP!$B$1:$B$6230,0)),"",INDIRECT("'SorP'!$A$"&amp;MATCH($J684,SorP!$B$1:$B$6230,0))))</f>
        <v/>
      </c>
      <c r="U684" s="241"/>
      <c r="V684" s="275" t="e">
        <f>IF(C684="",NA(),MATCH($B684&amp;$C684,'Smelter Look-up'!$J:$J,0))</f>
        <v>#N/A</v>
      </c>
      <c r="W684" s="276"/>
      <c r="X684" s="276">
        <f t="shared" ca="1" si="97"/>
        <v>0</v>
      </c>
      <c r="Y684" s="276"/>
      <c r="Z684" s="276"/>
      <c r="AB684" s="278" t="str">
        <f t="shared" si="98"/>
        <v/>
      </c>
    </row>
    <row r="685" spans="1:28" s="277" customFormat="1" ht="20.25">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96"/>
        <v/>
      </c>
      <c r="T685" s="225" t="str">
        <f ca="1">IF(B685="","",IF(ISERROR(MATCH($J685,SorP!$B$1:$B$6230,0)),"",INDIRECT("'SorP'!$A$"&amp;MATCH($J685,SorP!$B$1:$B$6230,0))))</f>
        <v/>
      </c>
      <c r="U685" s="241"/>
      <c r="V685" s="275" t="e">
        <f>IF(C685="",NA(),MATCH($B685&amp;$C685,'Smelter Look-up'!$J:$J,0))</f>
        <v>#N/A</v>
      </c>
      <c r="W685" s="276"/>
      <c r="X685" s="276">
        <f t="shared" ca="1" si="97"/>
        <v>0</v>
      </c>
      <c r="Y685" s="276"/>
      <c r="Z685" s="276"/>
      <c r="AB685" s="278" t="str">
        <f t="shared" si="98"/>
        <v/>
      </c>
    </row>
    <row r="686" spans="1:28" s="277" customFormat="1" ht="20.25">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96"/>
        <v/>
      </c>
      <c r="T686" s="225" t="str">
        <f ca="1">IF(B686="","",IF(ISERROR(MATCH($J686,SorP!$B$1:$B$6230,0)),"",INDIRECT("'SorP'!$A$"&amp;MATCH($J686,SorP!$B$1:$B$6230,0))))</f>
        <v/>
      </c>
      <c r="U686" s="241"/>
      <c r="V686" s="275" t="e">
        <f>IF(C686="",NA(),MATCH($B686&amp;$C686,'Smelter Look-up'!$J:$J,0))</f>
        <v>#N/A</v>
      </c>
      <c r="W686" s="276"/>
      <c r="X686" s="276">
        <f t="shared" ca="1" si="97"/>
        <v>0</v>
      </c>
      <c r="Y686" s="276"/>
      <c r="Z686" s="276"/>
      <c r="AB686" s="278" t="str">
        <f t="shared" si="98"/>
        <v/>
      </c>
    </row>
    <row r="687" spans="1:28" s="277" customFormat="1" ht="20.25">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ca="1" si="96"/>
        <v/>
      </c>
      <c r="T687" s="225" t="str">
        <f ca="1">IF(B687="","",IF(ISERROR(MATCH($J687,SorP!$B$1:$B$6230,0)),"",INDIRECT("'SorP'!$A$"&amp;MATCH($J687,SorP!$B$1:$B$6230,0))))</f>
        <v/>
      </c>
      <c r="U687" s="241"/>
      <c r="V687" s="275" t="e">
        <f>IF(C687="",NA(),MATCH($B687&amp;$C687,'Smelter Look-up'!$J:$J,0))</f>
        <v>#N/A</v>
      </c>
      <c r="W687" s="276"/>
      <c r="X687" s="276">
        <f t="shared" ca="1" si="97"/>
        <v>0</v>
      </c>
      <c r="Y687" s="276"/>
      <c r="Z687" s="276"/>
      <c r="AB687" s="278" t="str">
        <f t="shared" si="98"/>
        <v/>
      </c>
    </row>
    <row r="688" spans="1:28" s="277" customFormat="1" ht="20.25">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ca="1" si="96"/>
        <v/>
      </c>
      <c r="T688" s="225" t="str">
        <f ca="1">IF(B688="","",IF(ISERROR(MATCH($J688,SorP!$B$1:$B$6230,0)),"",INDIRECT("'SorP'!$A$"&amp;MATCH($J688,SorP!$B$1:$B$6230,0))))</f>
        <v/>
      </c>
      <c r="U688" s="241"/>
      <c r="V688" s="275" t="e">
        <f>IF(C688="",NA(),MATCH($B688&amp;$C688,'Smelter Look-up'!$J:$J,0))</f>
        <v>#N/A</v>
      </c>
      <c r="W688" s="276"/>
      <c r="X688" s="276">
        <f t="shared" ca="1" si="97"/>
        <v>0</v>
      </c>
      <c r="Y688" s="276"/>
      <c r="Z688" s="276"/>
      <c r="AB688" s="278" t="str">
        <f t="shared" si="98"/>
        <v/>
      </c>
    </row>
    <row r="689" spans="1:28" s="277" customFormat="1" ht="20.25">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ca="1" si="96"/>
        <v/>
      </c>
      <c r="T689" s="225" t="str">
        <f ca="1">IF(B689="","",IF(ISERROR(MATCH($J689,SorP!$B$1:$B$6230,0)),"",INDIRECT("'SorP'!$A$"&amp;MATCH($J689,SorP!$B$1:$B$6230,0))))</f>
        <v/>
      </c>
      <c r="U689" s="241"/>
      <c r="V689" s="275" t="e">
        <f>IF(C689="",NA(),MATCH($B689&amp;$C689,'Smelter Look-up'!$J:$J,0))</f>
        <v>#N/A</v>
      </c>
      <c r="W689" s="276"/>
      <c r="X689" s="276">
        <f t="shared" ca="1" si="97"/>
        <v>0</v>
      </c>
      <c r="Y689" s="276"/>
      <c r="Z689" s="276"/>
      <c r="AB689" s="278" t="str">
        <f t="shared" si="98"/>
        <v/>
      </c>
    </row>
    <row r="690" spans="1:28" s="277" customFormat="1" ht="20.25">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ca="1" si="96"/>
        <v/>
      </c>
      <c r="T690" s="225" t="str">
        <f ca="1">IF(B690="","",IF(ISERROR(MATCH($J690,SorP!$B$1:$B$6230,0)),"",INDIRECT("'SorP'!$A$"&amp;MATCH($J690,SorP!$B$1:$B$6230,0))))</f>
        <v/>
      </c>
      <c r="U690" s="241"/>
      <c r="V690" s="275" t="e">
        <f>IF(C690="",NA(),MATCH($B690&amp;$C690,'Smelter Look-up'!$J:$J,0))</f>
        <v>#N/A</v>
      </c>
      <c r="W690" s="276"/>
      <c r="X690" s="276">
        <f t="shared" ca="1" si="97"/>
        <v>0</v>
      </c>
      <c r="Y690" s="276"/>
      <c r="Z690" s="276"/>
      <c r="AB690" s="278" t="str">
        <f t="shared" si="98"/>
        <v/>
      </c>
    </row>
    <row r="691" spans="1:28" s="277" customFormat="1" ht="20.25">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96"/>
        <v/>
      </c>
      <c r="T691" s="225" t="str">
        <f ca="1">IF(B691="","",IF(ISERROR(MATCH($J691,SorP!$B$1:$B$6230,0)),"",INDIRECT("'SorP'!$A$"&amp;MATCH($J691,SorP!$B$1:$B$6230,0))))</f>
        <v/>
      </c>
      <c r="U691" s="241"/>
      <c r="V691" s="275" t="e">
        <f>IF(C691="",NA(),MATCH($B691&amp;$C691,'Smelter Look-up'!$J:$J,0))</f>
        <v>#N/A</v>
      </c>
      <c r="W691" s="276"/>
      <c r="X691" s="276">
        <f t="shared" ca="1" si="97"/>
        <v>0</v>
      </c>
      <c r="Y691" s="276"/>
      <c r="Z691" s="276"/>
      <c r="AB691" s="278" t="str">
        <f t="shared" si="98"/>
        <v/>
      </c>
    </row>
    <row r="692" spans="1:28" s="277" customFormat="1" ht="20.25">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96"/>
        <v/>
      </c>
      <c r="T692" s="225" t="str">
        <f ca="1">IF(B692="","",IF(ISERROR(MATCH($J692,SorP!$B$1:$B$6230,0)),"",INDIRECT("'SorP'!$A$"&amp;MATCH($J692,SorP!$B$1:$B$6230,0))))</f>
        <v/>
      </c>
      <c r="U692" s="241"/>
      <c r="V692" s="275" t="e">
        <f>IF(C692="",NA(),MATCH($B692&amp;$C692,'Smelter Look-up'!$J:$J,0))</f>
        <v>#N/A</v>
      </c>
      <c r="W692" s="276"/>
      <c r="X692" s="276">
        <f t="shared" ca="1" si="97"/>
        <v>0</v>
      </c>
      <c r="Y692" s="276"/>
      <c r="Z692" s="276"/>
      <c r="AB692" s="278" t="str">
        <f t="shared" si="98"/>
        <v/>
      </c>
    </row>
    <row r="693" spans="1:28" s="277" customFormat="1" ht="20.25">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96"/>
        <v/>
      </c>
      <c r="T693" s="225" t="str">
        <f ca="1">IF(B693="","",IF(ISERROR(MATCH($J693,SorP!$B$1:$B$6230,0)),"",INDIRECT("'SorP'!$A$"&amp;MATCH($J693,SorP!$B$1:$B$6230,0))))</f>
        <v/>
      </c>
      <c r="U693" s="241"/>
      <c r="V693" s="275" t="e">
        <f>IF(C693="",NA(),MATCH($B693&amp;$C693,'Smelter Look-up'!$J:$J,0))</f>
        <v>#N/A</v>
      </c>
      <c r="W693" s="276"/>
      <c r="X693" s="276">
        <f t="shared" ca="1" si="97"/>
        <v>0</v>
      </c>
      <c r="Y693" s="276"/>
      <c r="Z693" s="276"/>
      <c r="AB693" s="278" t="str">
        <f t="shared" si="98"/>
        <v/>
      </c>
    </row>
    <row r="694" spans="1:28" s="277" customFormat="1" ht="20.25">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96"/>
        <v/>
      </c>
      <c r="T694" s="225" t="str">
        <f ca="1">IF(B694="","",IF(ISERROR(MATCH($J694,SorP!$B$1:$B$6230,0)),"",INDIRECT("'SorP'!$A$"&amp;MATCH($J694,SorP!$B$1:$B$6230,0))))</f>
        <v/>
      </c>
      <c r="U694" s="241"/>
      <c r="V694" s="275" t="e">
        <f>IF(C694="",NA(),MATCH($B694&amp;$C694,'Smelter Look-up'!$J:$J,0))</f>
        <v>#N/A</v>
      </c>
      <c r="W694" s="276"/>
      <c r="X694" s="276">
        <f t="shared" ca="1" si="97"/>
        <v>0</v>
      </c>
      <c r="Y694" s="276"/>
      <c r="Z694" s="276"/>
      <c r="AB694" s="278" t="str">
        <f t="shared" si="98"/>
        <v/>
      </c>
    </row>
    <row r="695" spans="1:28" s="277" customFormat="1" ht="20.25">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96"/>
        <v/>
      </c>
      <c r="T695" s="225" t="str">
        <f ca="1">IF(B695="","",IF(ISERROR(MATCH($J695,SorP!$B$1:$B$6230,0)),"",INDIRECT("'SorP'!$A$"&amp;MATCH($J695,SorP!$B$1:$B$6230,0))))</f>
        <v/>
      </c>
      <c r="U695" s="241"/>
      <c r="V695" s="275" t="e">
        <f>IF(C695="",NA(),MATCH($B695&amp;$C695,'Smelter Look-up'!$J:$J,0))</f>
        <v>#N/A</v>
      </c>
      <c r="W695" s="276"/>
      <c r="X695" s="276">
        <f t="shared" ca="1" si="97"/>
        <v>0</v>
      </c>
      <c r="Y695" s="276"/>
      <c r="Z695" s="276"/>
      <c r="AB695" s="278" t="str">
        <f t="shared" si="98"/>
        <v/>
      </c>
    </row>
    <row r="696" spans="1:28" s="277" customFormat="1" ht="20.25">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96"/>
        <v/>
      </c>
      <c r="T696" s="225" t="str">
        <f ca="1">IF(B696="","",IF(ISERROR(MATCH($J696,SorP!$B$1:$B$6230,0)),"",INDIRECT("'SorP'!$A$"&amp;MATCH($J696,SorP!$B$1:$B$6230,0))))</f>
        <v/>
      </c>
      <c r="U696" s="241"/>
      <c r="V696" s="275" t="e">
        <f>IF(C696="",NA(),MATCH($B696&amp;$C696,'Smelter Look-up'!$J:$J,0))</f>
        <v>#N/A</v>
      </c>
      <c r="W696" s="276"/>
      <c r="X696" s="276">
        <f t="shared" ca="1" si="97"/>
        <v>0</v>
      </c>
      <c r="Y696" s="276"/>
      <c r="Z696" s="276"/>
      <c r="AB696" s="278" t="str">
        <f t="shared" si="98"/>
        <v/>
      </c>
    </row>
    <row r="697" spans="1:28" s="277" customFormat="1" ht="20.25">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96"/>
        <v/>
      </c>
      <c r="T697" s="225" t="str">
        <f ca="1">IF(B697="","",IF(ISERROR(MATCH($J697,SorP!$B$1:$B$6230,0)),"",INDIRECT("'SorP'!$A$"&amp;MATCH($J697,SorP!$B$1:$B$6230,0))))</f>
        <v/>
      </c>
      <c r="U697" s="241"/>
      <c r="V697" s="275" t="e">
        <f>IF(C697="",NA(),MATCH($B697&amp;$C697,'Smelter Look-up'!$J:$J,0))</f>
        <v>#N/A</v>
      </c>
      <c r="W697" s="276"/>
      <c r="X697" s="276">
        <f t="shared" ca="1" si="97"/>
        <v>0</v>
      </c>
      <c r="Y697" s="276"/>
      <c r="Z697" s="276"/>
      <c r="AB697" s="278" t="str">
        <f t="shared" si="98"/>
        <v/>
      </c>
    </row>
    <row r="698" spans="1:28" s="277" customFormat="1" ht="20.25">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ca="1" si="96"/>
        <v/>
      </c>
      <c r="T698" s="225" t="str">
        <f ca="1">IF(B698="","",IF(ISERROR(MATCH($J698,SorP!$B$1:$B$6230,0)),"",INDIRECT("'SorP'!$A$"&amp;MATCH($J698,SorP!$B$1:$B$6230,0))))</f>
        <v/>
      </c>
      <c r="U698" s="241"/>
      <c r="V698" s="275" t="e">
        <f>IF(C698="",NA(),MATCH($B698&amp;$C698,'Smelter Look-up'!$J:$J,0))</f>
        <v>#N/A</v>
      </c>
      <c r="W698" s="276"/>
      <c r="X698" s="276">
        <f t="shared" ca="1" si="97"/>
        <v>0</v>
      </c>
      <c r="Y698" s="276"/>
      <c r="Z698" s="276"/>
      <c r="AB698" s="278" t="str">
        <f t="shared" si="98"/>
        <v/>
      </c>
    </row>
    <row r="699" spans="1:28" s="277" customFormat="1" ht="20.25">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ref="S699" ca="1" si="99">IF(B699="","",IF(ISERROR(MATCH($E699,CL,0)),"Unknown",INDIRECT("'C'!$A$"&amp;MATCH($E699,CL,0)+1)))</f>
        <v/>
      </c>
      <c r="T699" s="225" t="str">
        <f ca="1">IF(B699="","",IF(ISERROR(MATCH($J699,SorP!$B$1:$B$6230,0)),"",INDIRECT("'SorP'!$A$"&amp;MATCH($J699,SorP!$B$1:$B$6230,0))))</f>
        <v/>
      </c>
      <c r="U699" s="241"/>
      <c r="V699" s="275" t="e">
        <f>IF(C699="",NA(),MATCH($B699&amp;$C699,'Smelter Look-up'!$J:$J,0))</f>
        <v>#N/A</v>
      </c>
      <c r="W699" s="276"/>
      <c r="X699" s="276">
        <f t="shared" ref="X699" ca="1" si="100">IF(AND(C699="Smelter not listed",OR(LEN(D699)=0,LEN(E699)=0)),1,0)</f>
        <v>0</v>
      </c>
      <c r="Y699" s="276"/>
      <c r="Z699" s="276"/>
      <c r="AB699" s="278" t="str">
        <f t="shared" ref="AB699" si="101">B699&amp;C699</f>
        <v/>
      </c>
    </row>
    <row r="700" spans="1:28" s="277" customFormat="1" ht="20.25">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ref="S700:S731" ca="1" si="102">IF(B700="","",IF(ISERROR(MATCH($E700,CL,0)),"Unknown",INDIRECT("'C'!$A$"&amp;MATCH($E700,CL,0)+1)))</f>
        <v/>
      </c>
      <c r="T700" s="225" t="str">
        <f ca="1">IF(B700="","",IF(ISERROR(MATCH($J700,SorP!$B$1:$B$6230,0)),"",INDIRECT("'SorP'!$A$"&amp;MATCH($J700,SorP!$B$1:$B$6230,0))))</f>
        <v/>
      </c>
      <c r="U700" s="241"/>
      <c r="V700" s="275" t="e">
        <f>IF(C700="",NA(),MATCH($B700&amp;$C700,'Smelter Look-up'!$J:$J,0))</f>
        <v>#N/A</v>
      </c>
      <c r="W700" s="276"/>
      <c r="X700" s="276">
        <f t="shared" ref="X700:X731" ca="1" si="103">IF(AND(C700="Smelter not listed",OR(LEN(D700)=0,LEN(E700)=0)),1,0)</f>
        <v>0</v>
      </c>
      <c r="Y700" s="276"/>
      <c r="Z700" s="276"/>
      <c r="AB700" s="278" t="str">
        <f t="shared" ref="AB700:AB731" si="104">B700&amp;C700</f>
        <v/>
      </c>
    </row>
    <row r="701" spans="1:28" s="277" customFormat="1" ht="20.25">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102"/>
        <v/>
      </c>
      <c r="T701" s="225" t="str">
        <f ca="1">IF(B701="","",IF(ISERROR(MATCH($J701,SorP!$B$1:$B$6230,0)),"",INDIRECT("'SorP'!$A$"&amp;MATCH($J701,SorP!$B$1:$B$6230,0))))</f>
        <v/>
      </c>
      <c r="U701" s="241"/>
      <c r="V701" s="275" t="e">
        <f>IF(C701="",NA(),MATCH($B701&amp;$C701,'Smelter Look-up'!$J:$J,0))</f>
        <v>#N/A</v>
      </c>
      <c r="W701" s="276"/>
      <c r="X701" s="276">
        <f t="shared" ca="1" si="103"/>
        <v>0</v>
      </c>
      <c r="Y701" s="276"/>
      <c r="Z701" s="276"/>
      <c r="AB701" s="278" t="str">
        <f t="shared" si="104"/>
        <v/>
      </c>
    </row>
    <row r="702" spans="1:28" s="277" customFormat="1" ht="20.25">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102"/>
        <v/>
      </c>
      <c r="T702" s="225" t="str">
        <f ca="1">IF(B702="","",IF(ISERROR(MATCH($J702,SorP!$B$1:$B$6230,0)),"",INDIRECT("'SorP'!$A$"&amp;MATCH($J702,SorP!$B$1:$B$6230,0))))</f>
        <v/>
      </c>
      <c r="U702" s="241"/>
      <c r="V702" s="275" t="e">
        <f>IF(C702="",NA(),MATCH($B702&amp;$C702,'Smelter Look-up'!$J:$J,0))</f>
        <v>#N/A</v>
      </c>
      <c r="W702" s="276"/>
      <c r="X702" s="276">
        <f t="shared" ca="1" si="103"/>
        <v>0</v>
      </c>
      <c r="Y702" s="276"/>
      <c r="Z702" s="276"/>
      <c r="AB702" s="278" t="str">
        <f t="shared" si="104"/>
        <v/>
      </c>
    </row>
    <row r="703" spans="1:28" s="277" customFormat="1" ht="20.25">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102"/>
        <v/>
      </c>
      <c r="T703" s="225" t="str">
        <f ca="1">IF(B703="","",IF(ISERROR(MATCH($J703,SorP!$B$1:$B$6230,0)),"",INDIRECT("'SorP'!$A$"&amp;MATCH($J703,SorP!$B$1:$B$6230,0))))</f>
        <v/>
      </c>
      <c r="U703" s="241"/>
      <c r="V703" s="275" t="e">
        <f>IF(C703="",NA(),MATCH($B703&amp;$C703,'Smelter Look-up'!$J:$J,0))</f>
        <v>#N/A</v>
      </c>
      <c r="W703" s="276"/>
      <c r="X703" s="276">
        <f t="shared" ca="1" si="103"/>
        <v>0</v>
      </c>
      <c r="Y703" s="276"/>
      <c r="Z703" s="276"/>
      <c r="AB703" s="278" t="str">
        <f t="shared" si="104"/>
        <v/>
      </c>
    </row>
    <row r="704" spans="1:28" s="277" customFormat="1" ht="20.25">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102"/>
        <v/>
      </c>
      <c r="T704" s="225" t="str">
        <f ca="1">IF(B704="","",IF(ISERROR(MATCH($J704,SorP!$B$1:$B$6230,0)),"",INDIRECT("'SorP'!$A$"&amp;MATCH($J704,SorP!$B$1:$B$6230,0))))</f>
        <v/>
      </c>
      <c r="U704" s="241"/>
      <c r="V704" s="275" t="e">
        <f>IF(C704="",NA(),MATCH($B704&amp;$C704,'Smelter Look-up'!$J:$J,0))</f>
        <v>#N/A</v>
      </c>
      <c r="W704" s="276"/>
      <c r="X704" s="276">
        <f t="shared" ca="1" si="103"/>
        <v>0</v>
      </c>
      <c r="Y704" s="276"/>
      <c r="Z704" s="276"/>
      <c r="AB704" s="278" t="str">
        <f t="shared" si="104"/>
        <v/>
      </c>
    </row>
    <row r="705" spans="1:28" s="277" customFormat="1" ht="20.25">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102"/>
        <v/>
      </c>
      <c r="T705" s="225" t="str">
        <f ca="1">IF(B705="","",IF(ISERROR(MATCH($J705,SorP!$B$1:$B$6230,0)),"",INDIRECT("'SorP'!$A$"&amp;MATCH($J705,SorP!$B$1:$B$6230,0))))</f>
        <v/>
      </c>
      <c r="U705" s="241"/>
      <c r="V705" s="275" t="e">
        <f>IF(C705="",NA(),MATCH($B705&amp;$C705,'Smelter Look-up'!$J:$J,0))</f>
        <v>#N/A</v>
      </c>
      <c r="W705" s="276"/>
      <c r="X705" s="276">
        <f t="shared" ca="1" si="103"/>
        <v>0</v>
      </c>
      <c r="Y705" s="276"/>
      <c r="Z705" s="276"/>
      <c r="AB705" s="278" t="str">
        <f t="shared" si="104"/>
        <v/>
      </c>
    </row>
    <row r="706" spans="1:28" s="277" customFormat="1" ht="20.25">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102"/>
        <v/>
      </c>
      <c r="T706" s="225" t="str">
        <f ca="1">IF(B706="","",IF(ISERROR(MATCH($J706,SorP!$B$1:$B$6230,0)),"",INDIRECT("'SorP'!$A$"&amp;MATCH($J706,SorP!$B$1:$B$6230,0))))</f>
        <v/>
      </c>
      <c r="U706" s="241"/>
      <c r="V706" s="275" t="e">
        <f>IF(C706="",NA(),MATCH($B706&amp;$C706,'Smelter Look-up'!$J:$J,0))</f>
        <v>#N/A</v>
      </c>
      <c r="W706" s="276"/>
      <c r="X706" s="276">
        <f t="shared" ca="1" si="103"/>
        <v>0</v>
      </c>
      <c r="Y706" s="276"/>
      <c r="Z706" s="276"/>
      <c r="AB706" s="278" t="str">
        <f t="shared" si="104"/>
        <v/>
      </c>
    </row>
    <row r="707" spans="1:28" s="277" customFormat="1" ht="20.25">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102"/>
        <v/>
      </c>
      <c r="T707" s="225" t="str">
        <f ca="1">IF(B707="","",IF(ISERROR(MATCH($J707,SorP!$B$1:$B$6230,0)),"",INDIRECT("'SorP'!$A$"&amp;MATCH($J707,SorP!$B$1:$B$6230,0))))</f>
        <v/>
      </c>
      <c r="U707" s="241"/>
      <c r="V707" s="275" t="e">
        <f>IF(C707="",NA(),MATCH($B707&amp;$C707,'Smelter Look-up'!$J:$J,0))</f>
        <v>#N/A</v>
      </c>
      <c r="W707" s="276"/>
      <c r="X707" s="276">
        <f t="shared" ca="1" si="103"/>
        <v>0</v>
      </c>
      <c r="Y707" s="276"/>
      <c r="Z707" s="276"/>
      <c r="AB707" s="278" t="str">
        <f t="shared" si="104"/>
        <v/>
      </c>
    </row>
    <row r="708" spans="1:28" s="277" customFormat="1" ht="20.25">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102"/>
        <v/>
      </c>
      <c r="T708" s="225" t="str">
        <f ca="1">IF(B708="","",IF(ISERROR(MATCH($J708,SorP!$B$1:$B$6230,0)),"",INDIRECT("'SorP'!$A$"&amp;MATCH($J708,SorP!$B$1:$B$6230,0))))</f>
        <v/>
      </c>
      <c r="U708" s="241"/>
      <c r="V708" s="275" t="e">
        <f>IF(C708="",NA(),MATCH($B708&amp;$C708,'Smelter Look-up'!$J:$J,0))</f>
        <v>#N/A</v>
      </c>
      <c r="W708" s="276"/>
      <c r="X708" s="276">
        <f t="shared" ca="1" si="103"/>
        <v>0</v>
      </c>
      <c r="Y708" s="276"/>
      <c r="Z708" s="276"/>
      <c r="AB708" s="278" t="str">
        <f t="shared" si="104"/>
        <v/>
      </c>
    </row>
    <row r="709" spans="1:28" s="277" customFormat="1" ht="20.25">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102"/>
        <v/>
      </c>
      <c r="T709" s="225" t="str">
        <f ca="1">IF(B709="","",IF(ISERROR(MATCH($J709,SorP!$B$1:$B$6230,0)),"",INDIRECT("'SorP'!$A$"&amp;MATCH($J709,SorP!$B$1:$B$6230,0))))</f>
        <v/>
      </c>
      <c r="U709" s="241"/>
      <c r="V709" s="275" t="e">
        <f>IF(C709="",NA(),MATCH($B709&amp;$C709,'Smelter Look-up'!$J:$J,0))</f>
        <v>#N/A</v>
      </c>
      <c r="W709" s="276"/>
      <c r="X709" s="276">
        <f t="shared" ca="1" si="103"/>
        <v>0</v>
      </c>
      <c r="Y709" s="276"/>
      <c r="Z709" s="276"/>
      <c r="AB709" s="278" t="str">
        <f t="shared" si="104"/>
        <v/>
      </c>
    </row>
    <row r="710" spans="1:28" s="277" customFormat="1" ht="20.25">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102"/>
        <v/>
      </c>
      <c r="T710" s="225" t="str">
        <f ca="1">IF(B710="","",IF(ISERROR(MATCH($J710,SorP!$B$1:$B$6230,0)),"",INDIRECT("'SorP'!$A$"&amp;MATCH($J710,SorP!$B$1:$B$6230,0))))</f>
        <v/>
      </c>
      <c r="U710" s="241"/>
      <c r="V710" s="275" t="e">
        <f>IF(C710="",NA(),MATCH($B710&amp;$C710,'Smelter Look-up'!$J:$J,0))</f>
        <v>#N/A</v>
      </c>
      <c r="W710" s="276"/>
      <c r="X710" s="276">
        <f t="shared" ca="1" si="103"/>
        <v>0</v>
      </c>
      <c r="Y710" s="276"/>
      <c r="Z710" s="276"/>
      <c r="AB710" s="278" t="str">
        <f t="shared" si="104"/>
        <v/>
      </c>
    </row>
    <row r="711" spans="1:28" s="277" customFormat="1" ht="20.25">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102"/>
        <v/>
      </c>
      <c r="T711" s="225" t="str">
        <f ca="1">IF(B711="","",IF(ISERROR(MATCH($J711,SorP!$B$1:$B$6230,0)),"",INDIRECT("'SorP'!$A$"&amp;MATCH($J711,SorP!$B$1:$B$6230,0))))</f>
        <v/>
      </c>
      <c r="U711" s="241"/>
      <c r="V711" s="275" t="e">
        <f>IF(C711="",NA(),MATCH($B711&amp;$C711,'Smelter Look-up'!$J:$J,0))</f>
        <v>#N/A</v>
      </c>
      <c r="W711" s="276"/>
      <c r="X711" s="276">
        <f t="shared" ca="1" si="103"/>
        <v>0</v>
      </c>
      <c r="Y711" s="276"/>
      <c r="Z711" s="276"/>
      <c r="AB711" s="278" t="str">
        <f t="shared" si="104"/>
        <v/>
      </c>
    </row>
    <row r="712" spans="1:28" s="277" customFormat="1" ht="20.25">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102"/>
        <v/>
      </c>
      <c r="T712" s="225" t="str">
        <f ca="1">IF(B712="","",IF(ISERROR(MATCH($J712,SorP!$B$1:$B$6230,0)),"",INDIRECT("'SorP'!$A$"&amp;MATCH($J712,SorP!$B$1:$B$6230,0))))</f>
        <v/>
      </c>
      <c r="U712" s="241"/>
      <c r="V712" s="275" t="e">
        <f>IF(C712="",NA(),MATCH($B712&amp;$C712,'Smelter Look-up'!$J:$J,0))</f>
        <v>#N/A</v>
      </c>
      <c r="W712" s="276"/>
      <c r="X712" s="276">
        <f t="shared" ca="1" si="103"/>
        <v>0</v>
      </c>
      <c r="Y712" s="276"/>
      <c r="Z712" s="276"/>
      <c r="AB712" s="278" t="str">
        <f t="shared" si="104"/>
        <v/>
      </c>
    </row>
    <row r="713" spans="1:28" s="277" customFormat="1" ht="20.25">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102"/>
        <v/>
      </c>
      <c r="T713" s="225" t="str">
        <f ca="1">IF(B713="","",IF(ISERROR(MATCH($J713,SorP!$B$1:$B$6230,0)),"",INDIRECT("'SorP'!$A$"&amp;MATCH($J713,SorP!$B$1:$B$6230,0))))</f>
        <v/>
      </c>
      <c r="U713" s="241"/>
      <c r="V713" s="275" t="e">
        <f>IF(C713="",NA(),MATCH($B713&amp;$C713,'Smelter Look-up'!$J:$J,0))</f>
        <v>#N/A</v>
      </c>
      <c r="W713" s="276"/>
      <c r="X713" s="276">
        <f t="shared" ca="1" si="103"/>
        <v>0</v>
      </c>
      <c r="Y713" s="276"/>
      <c r="Z713" s="276"/>
      <c r="AB713" s="278" t="str">
        <f t="shared" si="104"/>
        <v/>
      </c>
    </row>
    <row r="714" spans="1:28" s="277" customFormat="1" ht="20.25">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102"/>
        <v/>
      </c>
      <c r="T714" s="225" t="str">
        <f ca="1">IF(B714="","",IF(ISERROR(MATCH($J714,SorP!$B$1:$B$6230,0)),"",INDIRECT("'SorP'!$A$"&amp;MATCH($J714,SorP!$B$1:$B$6230,0))))</f>
        <v/>
      </c>
      <c r="U714" s="241"/>
      <c r="V714" s="275" t="e">
        <f>IF(C714="",NA(),MATCH($B714&amp;$C714,'Smelter Look-up'!$J:$J,0))</f>
        <v>#N/A</v>
      </c>
      <c r="W714" s="276"/>
      <c r="X714" s="276">
        <f t="shared" ca="1" si="103"/>
        <v>0</v>
      </c>
      <c r="Y714" s="276"/>
      <c r="Z714" s="276"/>
      <c r="AB714" s="278" t="str">
        <f t="shared" si="104"/>
        <v/>
      </c>
    </row>
    <row r="715" spans="1:28" s="277" customFormat="1" ht="20.25">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102"/>
        <v/>
      </c>
      <c r="T715" s="225" t="str">
        <f ca="1">IF(B715="","",IF(ISERROR(MATCH($J715,SorP!$B$1:$B$6230,0)),"",INDIRECT("'SorP'!$A$"&amp;MATCH($J715,SorP!$B$1:$B$6230,0))))</f>
        <v/>
      </c>
      <c r="U715" s="241"/>
      <c r="V715" s="275" t="e">
        <f>IF(C715="",NA(),MATCH($B715&amp;$C715,'Smelter Look-up'!$J:$J,0))</f>
        <v>#N/A</v>
      </c>
      <c r="W715" s="276"/>
      <c r="X715" s="276">
        <f t="shared" ca="1" si="103"/>
        <v>0</v>
      </c>
      <c r="Y715" s="276"/>
      <c r="Z715" s="276"/>
      <c r="AB715" s="278" t="str">
        <f t="shared" si="104"/>
        <v/>
      </c>
    </row>
    <row r="716" spans="1:28" s="277" customFormat="1" ht="20.25">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102"/>
        <v/>
      </c>
      <c r="T716" s="225" t="str">
        <f ca="1">IF(B716="","",IF(ISERROR(MATCH($J716,SorP!$B$1:$B$6230,0)),"",INDIRECT("'SorP'!$A$"&amp;MATCH($J716,SorP!$B$1:$B$6230,0))))</f>
        <v/>
      </c>
      <c r="U716" s="241"/>
      <c r="V716" s="275" t="e">
        <f>IF(C716="",NA(),MATCH($B716&amp;$C716,'Smelter Look-up'!$J:$J,0))</f>
        <v>#N/A</v>
      </c>
      <c r="W716" s="276"/>
      <c r="X716" s="276">
        <f t="shared" ca="1" si="103"/>
        <v>0</v>
      </c>
      <c r="Y716" s="276"/>
      <c r="Z716" s="276"/>
      <c r="AB716" s="278" t="str">
        <f t="shared" si="104"/>
        <v/>
      </c>
    </row>
    <row r="717" spans="1:28" s="277" customFormat="1" ht="20.25">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102"/>
        <v/>
      </c>
      <c r="T717" s="225" t="str">
        <f ca="1">IF(B717="","",IF(ISERROR(MATCH($J717,SorP!$B$1:$B$6230,0)),"",INDIRECT("'SorP'!$A$"&amp;MATCH($J717,SorP!$B$1:$B$6230,0))))</f>
        <v/>
      </c>
      <c r="U717" s="241"/>
      <c r="V717" s="275" t="e">
        <f>IF(C717="",NA(),MATCH($B717&amp;$C717,'Smelter Look-up'!$J:$J,0))</f>
        <v>#N/A</v>
      </c>
      <c r="W717" s="276"/>
      <c r="X717" s="276">
        <f t="shared" ca="1" si="103"/>
        <v>0</v>
      </c>
      <c r="Y717" s="276"/>
      <c r="Z717" s="276"/>
      <c r="AB717" s="278" t="str">
        <f t="shared" si="104"/>
        <v/>
      </c>
    </row>
    <row r="718" spans="1:28" s="277" customFormat="1" ht="20.25">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102"/>
        <v/>
      </c>
      <c r="T718" s="225" t="str">
        <f ca="1">IF(B718="","",IF(ISERROR(MATCH($J718,SorP!$B$1:$B$6230,0)),"",INDIRECT("'SorP'!$A$"&amp;MATCH($J718,SorP!$B$1:$B$6230,0))))</f>
        <v/>
      </c>
      <c r="U718" s="241"/>
      <c r="V718" s="275" t="e">
        <f>IF(C718="",NA(),MATCH($B718&amp;$C718,'Smelter Look-up'!$J:$J,0))</f>
        <v>#N/A</v>
      </c>
      <c r="W718" s="276"/>
      <c r="X718" s="276">
        <f t="shared" ca="1" si="103"/>
        <v>0</v>
      </c>
      <c r="Y718" s="276"/>
      <c r="Z718" s="276"/>
      <c r="AB718" s="278" t="str">
        <f t="shared" si="104"/>
        <v/>
      </c>
    </row>
    <row r="719" spans="1:28" s="277" customFormat="1" ht="20.25">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102"/>
        <v/>
      </c>
      <c r="T719" s="225" t="str">
        <f ca="1">IF(B719="","",IF(ISERROR(MATCH($J719,SorP!$B$1:$B$6230,0)),"",INDIRECT("'SorP'!$A$"&amp;MATCH($J719,SorP!$B$1:$B$6230,0))))</f>
        <v/>
      </c>
      <c r="U719" s="241"/>
      <c r="V719" s="275" t="e">
        <f>IF(C719="",NA(),MATCH($B719&amp;$C719,'Smelter Look-up'!$J:$J,0))</f>
        <v>#N/A</v>
      </c>
      <c r="W719" s="276"/>
      <c r="X719" s="276">
        <f t="shared" ca="1" si="103"/>
        <v>0</v>
      </c>
      <c r="Y719" s="276"/>
      <c r="Z719" s="276"/>
      <c r="AB719" s="278" t="str">
        <f t="shared" si="104"/>
        <v/>
      </c>
    </row>
    <row r="720" spans="1:28" s="277" customFormat="1" ht="20.25">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ca="1" si="102"/>
        <v/>
      </c>
      <c r="T720" s="225" t="str">
        <f ca="1">IF(B720="","",IF(ISERROR(MATCH($J720,SorP!$B$1:$B$6230,0)),"",INDIRECT("'SorP'!$A$"&amp;MATCH($J720,SorP!$B$1:$B$6230,0))))</f>
        <v/>
      </c>
      <c r="U720" s="241"/>
      <c r="V720" s="275" t="e">
        <f>IF(C720="",NA(),MATCH($B720&amp;$C720,'Smelter Look-up'!$J:$J,0))</f>
        <v>#N/A</v>
      </c>
      <c r="W720" s="276"/>
      <c r="X720" s="276">
        <f t="shared" ca="1" si="103"/>
        <v>0</v>
      </c>
      <c r="Y720" s="276"/>
      <c r="Z720" s="276"/>
      <c r="AB720" s="278" t="str">
        <f t="shared" si="104"/>
        <v/>
      </c>
    </row>
    <row r="721" spans="1:28" s="277" customFormat="1" ht="20.25">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102"/>
        <v/>
      </c>
      <c r="T721" s="225" t="str">
        <f ca="1">IF(B721="","",IF(ISERROR(MATCH($J721,SorP!$B$1:$B$6230,0)),"",INDIRECT("'SorP'!$A$"&amp;MATCH($J721,SorP!$B$1:$B$6230,0))))</f>
        <v/>
      </c>
      <c r="U721" s="241"/>
      <c r="V721" s="275" t="e">
        <f>IF(C721="",NA(),MATCH($B721&amp;$C721,'Smelter Look-up'!$J:$J,0))</f>
        <v>#N/A</v>
      </c>
      <c r="W721" s="276"/>
      <c r="X721" s="276">
        <f t="shared" ca="1" si="103"/>
        <v>0</v>
      </c>
      <c r="Y721" s="276"/>
      <c r="Z721" s="276"/>
      <c r="AB721" s="278" t="str">
        <f t="shared" si="104"/>
        <v/>
      </c>
    </row>
    <row r="722" spans="1:28" s="277" customFormat="1" ht="20.25">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ca="1" si="102"/>
        <v/>
      </c>
      <c r="T722" s="225" t="str">
        <f ca="1">IF(B722="","",IF(ISERROR(MATCH($J722,SorP!$B$1:$B$6230,0)),"",INDIRECT("'SorP'!$A$"&amp;MATCH($J722,SorP!$B$1:$B$6230,0))))</f>
        <v/>
      </c>
      <c r="U722" s="241"/>
      <c r="V722" s="275" t="e">
        <f>IF(C722="",NA(),MATCH($B722&amp;$C722,'Smelter Look-up'!$J:$J,0))</f>
        <v>#N/A</v>
      </c>
      <c r="W722" s="276"/>
      <c r="X722" s="276">
        <f t="shared" ca="1" si="103"/>
        <v>0</v>
      </c>
      <c r="Y722" s="276"/>
      <c r="Z722" s="276"/>
      <c r="AB722" s="278" t="str">
        <f t="shared" si="104"/>
        <v/>
      </c>
    </row>
    <row r="723" spans="1:28" s="277" customFormat="1" ht="20.25">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102"/>
        <v/>
      </c>
      <c r="T723" s="225" t="str">
        <f ca="1">IF(B723="","",IF(ISERROR(MATCH($J723,SorP!$B$1:$B$6230,0)),"",INDIRECT("'SorP'!$A$"&amp;MATCH($J723,SorP!$B$1:$B$6230,0))))</f>
        <v/>
      </c>
      <c r="U723" s="241"/>
      <c r="V723" s="275" t="e">
        <f>IF(C723="",NA(),MATCH($B723&amp;$C723,'Smelter Look-up'!$J:$J,0))</f>
        <v>#N/A</v>
      </c>
      <c r="W723" s="276"/>
      <c r="X723" s="276">
        <f t="shared" ca="1" si="103"/>
        <v>0</v>
      </c>
      <c r="Y723" s="276"/>
      <c r="Z723" s="276"/>
      <c r="AB723" s="278" t="str">
        <f t="shared" si="104"/>
        <v/>
      </c>
    </row>
    <row r="724" spans="1:28" s="277" customFormat="1" ht="20.25">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102"/>
        <v/>
      </c>
      <c r="T724" s="225" t="str">
        <f ca="1">IF(B724="","",IF(ISERROR(MATCH($J724,SorP!$B$1:$B$6230,0)),"",INDIRECT("'SorP'!$A$"&amp;MATCH($J724,SorP!$B$1:$B$6230,0))))</f>
        <v/>
      </c>
      <c r="U724" s="241"/>
      <c r="V724" s="275" t="e">
        <f>IF(C724="",NA(),MATCH($B724&amp;$C724,'Smelter Look-up'!$J:$J,0))</f>
        <v>#N/A</v>
      </c>
      <c r="W724" s="276"/>
      <c r="X724" s="276">
        <f t="shared" ca="1" si="103"/>
        <v>0</v>
      </c>
      <c r="Y724" s="276"/>
      <c r="Z724" s="276"/>
      <c r="AB724" s="278" t="str">
        <f t="shared" si="104"/>
        <v/>
      </c>
    </row>
    <row r="725" spans="1:28" s="277" customFormat="1" ht="20.25">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102"/>
        <v/>
      </c>
      <c r="T725" s="225" t="str">
        <f ca="1">IF(B725="","",IF(ISERROR(MATCH($J725,SorP!$B$1:$B$6230,0)),"",INDIRECT("'SorP'!$A$"&amp;MATCH($J725,SorP!$B$1:$B$6230,0))))</f>
        <v/>
      </c>
      <c r="U725" s="241"/>
      <c r="V725" s="275" t="e">
        <f>IF(C725="",NA(),MATCH($B725&amp;$C725,'Smelter Look-up'!$J:$J,0))</f>
        <v>#N/A</v>
      </c>
      <c r="W725" s="276"/>
      <c r="X725" s="276">
        <f t="shared" ca="1" si="103"/>
        <v>0</v>
      </c>
      <c r="Y725" s="276"/>
      <c r="Z725" s="276"/>
      <c r="AB725" s="278" t="str">
        <f t="shared" si="104"/>
        <v/>
      </c>
    </row>
    <row r="726" spans="1:28" s="277" customFormat="1" ht="20.25">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102"/>
        <v/>
      </c>
      <c r="T726" s="225" t="str">
        <f ca="1">IF(B726="","",IF(ISERROR(MATCH($J726,SorP!$B$1:$B$6230,0)),"",INDIRECT("'SorP'!$A$"&amp;MATCH($J726,SorP!$B$1:$B$6230,0))))</f>
        <v/>
      </c>
      <c r="U726" s="241"/>
      <c r="V726" s="275" t="e">
        <f>IF(C726="",NA(),MATCH($B726&amp;$C726,'Smelter Look-up'!$J:$J,0))</f>
        <v>#N/A</v>
      </c>
      <c r="W726" s="276"/>
      <c r="X726" s="276">
        <f t="shared" ca="1" si="103"/>
        <v>0</v>
      </c>
      <c r="Y726" s="276"/>
      <c r="Z726" s="276"/>
      <c r="AB726" s="278" t="str">
        <f t="shared" si="104"/>
        <v/>
      </c>
    </row>
    <row r="727" spans="1:28" s="277" customFormat="1" ht="20.25">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102"/>
        <v/>
      </c>
      <c r="T727" s="225" t="str">
        <f ca="1">IF(B727="","",IF(ISERROR(MATCH($J727,SorP!$B$1:$B$6230,0)),"",INDIRECT("'SorP'!$A$"&amp;MATCH($J727,SorP!$B$1:$B$6230,0))))</f>
        <v/>
      </c>
      <c r="U727" s="241"/>
      <c r="V727" s="275" t="e">
        <f>IF(C727="",NA(),MATCH($B727&amp;$C727,'Smelter Look-up'!$J:$J,0))</f>
        <v>#N/A</v>
      </c>
      <c r="W727" s="276"/>
      <c r="X727" s="276">
        <f t="shared" ca="1" si="103"/>
        <v>0</v>
      </c>
      <c r="Y727" s="276"/>
      <c r="Z727" s="276"/>
      <c r="AB727" s="278" t="str">
        <f t="shared" si="104"/>
        <v/>
      </c>
    </row>
    <row r="728" spans="1:28" s="277" customFormat="1" ht="20.25">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102"/>
        <v/>
      </c>
      <c r="T728" s="225" t="str">
        <f ca="1">IF(B728="","",IF(ISERROR(MATCH($J728,SorP!$B$1:$B$6230,0)),"",INDIRECT("'SorP'!$A$"&amp;MATCH($J728,SorP!$B$1:$B$6230,0))))</f>
        <v/>
      </c>
      <c r="U728" s="241"/>
      <c r="V728" s="275" t="e">
        <f>IF(C728="",NA(),MATCH($B728&amp;$C728,'Smelter Look-up'!$J:$J,0))</f>
        <v>#N/A</v>
      </c>
      <c r="W728" s="276"/>
      <c r="X728" s="276">
        <f t="shared" ca="1" si="103"/>
        <v>0</v>
      </c>
      <c r="Y728" s="276"/>
      <c r="Z728" s="276"/>
      <c r="AB728" s="278" t="str">
        <f t="shared" si="104"/>
        <v/>
      </c>
    </row>
    <row r="729" spans="1:28" s="277" customFormat="1" ht="20.25">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102"/>
        <v/>
      </c>
      <c r="T729" s="225" t="str">
        <f ca="1">IF(B729="","",IF(ISERROR(MATCH($J729,SorP!$B$1:$B$6230,0)),"",INDIRECT("'SorP'!$A$"&amp;MATCH($J729,SorP!$B$1:$B$6230,0))))</f>
        <v/>
      </c>
      <c r="U729" s="241"/>
      <c r="V729" s="275" t="e">
        <f>IF(C729="",NA(),MATCH($B729&amp;$C729,'Smelter Look-up'!$J:$J,0))</f>
        <v>#N/A</v>
      </c>
      <c r="W729" s="276"/>
      <c r="X729" s="276">
        <f t="shared" ca="1" si="103"/>
        <v>0</v>
      </c>
      <c r="Y729" s="276"/>
      <c r="Z729" s="276"/>
      <c r="AB729" s="278" t="str">
        <f t="shared" si="104"/>
        <v/>
      </c>
    </row>
    <row r="730" spans="1:28" s="277" customFormat="1" ht="20.25">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102"/>
        <v/>
      </c>
      <c r="T730" s="225" t="str">
        <f ca="1">IF(B730="","",IF(ISERROR(MATCH($J730,SorP!$B$1:$B$6230,0)),"",INDIRECT("'SorP'!$A$"&amp;MATCH($J730,SorP!$B$1:$B$6230,0))))</f>
        <v/>
      </c>
      <c r="U730" s="241"/>
      <c r="V730" s="275" t="e">
        <f>IF(C730="",NA(),MATCH($B730&amp;$C730,'Smelter Look-up'!$J:$J,0))</f>
        <v>#N/A</v>
      </c>
      <c r="W730" s="276"/>
      <c r="X730" s="276">
        <f t="shared" ca="1" si="103"/>
        <v>0</v>
      </c>
      <c r="Y730" s="276"/>
      <c r="Z730" s="276"/>
      <c r="AB730" s="278" t="str">
        <f t="shared" si="104"/>
        <v/>
      </c>
    </row>
    <row r="731" spans="1:28" s="277" customFormat="1" ht="20.25">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ca="1" si="102"/>
        <v/>
      </c>
      <c r="T731" s="225" t="str">
        <f ca="1">IF(B731="","",IF(ISERROR(MATCH($J731,SorP!$B$1:$B$6230,0)),"",INDIRECT("'SorP'!$A$"&amp;MATCH($J731,SorP!$B$1:$B$6230,0))))</f>
        <v/>
      </c>
      <c r="U731" s="241"/>
      <c r="V731" s="275" t="e">
        <f>IF(C731="",NA(),MATCH($B731&amp;$C731,'Smelter Look-up'!$J:$J,0))</f>
        <v>#N/A</v>
      </c>
      <c r="W731" s="276"/>
      <c r="X731" s="276">
        <f t="shared" ca="1" si="103"/>
        <v>0</v>
      </c>
      <c r="Y731" s="276"/>
      <c r="Z731" s="276"/>
      <c r="AB731" s="278" t="str">
        <f t="shared" si="104"/>
        <v/>
      </c>
    </row>
    <row r="732" spans="1:28" s="277" customFormat="1" ht="20.25">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ref="S732:S762" ca="1" si="105">IF(B732="","",IF(ISERROR(MATCH($E732,CL,0)),"Unknown",INDIRECT("'C'!$A$"&amp;MATCH($E732,CL,0)+1)))</f>
        <v/>
      </c>
      <c r="T732" s="225" t="str">
        <f ca="1">IF(B732="","",IF(ISERROR(MATCH($J732,SorP!$B$1:$B$6230,0)),"",INDIRECT("'SorP'!$A$"&amp;MATCH($J732,SorP!$B$1:$B$6230,0))))</f>
        <v/>
      </c>
      <c r="U732" s="241"/>
      <c r="V732" s="275" t="e">
        <f>IF(C732="",NA(),MATCH($B732&amp;$C732,'Smelter Look-up'!$J:$J,0))</f>
        <v>#N/A</v>
      </c>
      <c r="W732" s="276"/>
      <c r="X732" s="276">
        <f t="shared" ref="X732:X762" ca="1" si="106">IF(AND(C732="Smelter not listed",OR(LEN(D732)=0,LEN(E732)=0)),1,0)</f>
        <v>0</v>
      </c>
      <c r="Y732" s="276"/>
      <c r="Z732" s="276"/>
      <c r="AB732" s="278" t="str">
        <f t="shared" ref="AB732:AB762" si="107">B732&amp;C732</f>
        <v/>
      </c>
    </row>
    <row r="733" spans="1:28" s="277" customFormat="1" ht="20.25">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105"/>
        <v/>
      </c>
      <c r="T733" s="225" t="str">
        <f ca="1">IF(B733="","",IF(ISERROR(MATCH($J733,SorP!$B$1:$B$6230,0)),"",INDIRECT("'SorP'!$A$"&amp;MATCH($J733,SorP!$B$1:$B$6230,0))))</f>
        <v/>
      </c>
      <c r="U733" s="241"/>
      <c r="V733" s="275" t="e">
        <f>IF(C733="",NA(),MATCH($B733&amp;$C733,'Smelter Look-up'!$J:$J,0))</f>
        <v>#N/A</v>
      </c>
      <c r="W733" s="276"/>
      <c r="X733" s="276">
        <f t="shared" ca="1" si="106"/>
        <v>0</v>
      </c>
      <c r="Y733" s="276"/>
      <c r="Z733" s="276"/>
      <c r="AB733" s="278" t="str">
        <f t="shared" si="107"/>
        <v/>
      </c>
    </row>
    <row r="734" spans="1:28" s="277" customFormat="1" ht="20.25">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105"/>
        <v/>
      </c>
      <c r="T734" s="225" t="str">
        <f ca="1">IF(B734="","",IF(ISERROR(MATCH($J734,SorP!$B$1:$B$6230,0)),"",INDIRECT("'SorP'!$A$"&amp;MATCH($J734,SorP!$B$1:$B$6230,0))))</f>
        <v/>
      </c>
      <c r="U734" s="241"/>
      <c r="V734" s="275" t="e">
        <f>IF(C734="",NA(),MATCH($B734&amp;$C734,'Smelter Look-up'!$J:$J,0))</f>
        <v>#N/A</v>
      </c>
      <c r="W734" s="276"/>
      <c r="X734" s="276">
        <f t="shared" ca="1" si="106"/>
        <v>0</v>
      </c>
      <c r="Y734" s="276"/>
      <c r="Z734" s="276"/>
      <c r="AB734" s="278" t="str">
        <f t="shared" si="107"/>
        <v/>
      </c>
    </row>
    <row r="735" spans="1:28" s="277" customFormat="1" ht="20.25">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105"/>
        <v/>
      </c>
      <c r="T735" s="225" t="str">
        <f ca="1">IF(B735="","",IF(ISERROR(MATCH($J735,SorP!$B$1:$B$6230,0)),"",INDIRECT("'SorP'!$A$"&amp;MATCH($J735,SorP!$B$1:$B$6230,0))))</f>
        <v/>
      </c>
      <c r="U735" s="241"/>
      <c r="V735" s="275" t="e">
        <f>IF(C735="",NA(),MATCH($B735&amp;$C735,'Smelter Look-up'!$J:$J,0))</f>
        <v>#N/A</v>
      </c>
      <c r="W735" s="276"/>
      <c r="X735" s="276">
        <f t="shared" ca="1" si="106"/>
        <v>0</v>
      </c>
      <c r="Y735" s="276"/>
      <c r="Z735" s="276"/>
      <c r="AB735" s="278" t="str">
        <f t="shared" si="107"/>
        <v/>
      </c>
    </row>
    <row r="736" spans="1:28" s="277" customFormat="1" ht="20.25">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105"/>
        <v/>
      </c>
      <c r="T736" s="225" t="str">
        <f ca="1">IF(B736="","",IF(ISERROR(MATCH($J736,SorP!$B$1:$B$6230,0)),"",INDIRECT("'SorP'!$A$"&amp;MATCH($J736,SorP!$B$1:$B$6230,0))))</f>
        <v/>
      </c>
      <c r="U736" s="241"/>
      <c r="V736" s="275" t="e">
        <f>IF(C736="",NA(),MATCH($B736&amp;$C736,'Smelter Look-up'!$J:$J,0))</f>
        <v>#N/A</v>
      </c>
      <c r="W736" s="276"/>
      <c r="X736" s="276">
        <f t="shared" ca="1" si="106"/>
        <v>0</v>
      </c>
      <c r="Y736" s="276"/>
      <c r="Z736" s="276"/>
      <c r="AB736" s="278" t="str">
        <f t="shared" si="107"/>
        <v/>
      </c>
    </row>
    <row r="737" spans="1:28" s="277" customFormat="1" ht="20.25">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105"/>
        <v/>
      </c>
      <c r="T737" s="225" t="str">
        <f ca="1">IF(B737="","",IF(ISERROR(MATCH($J737,SorP!$B$1:$B$6230,0)),"",INDIRECT("'SorP'!$A$"&amp;MATCH($J737,SorP!$B$1:$B$6230,0))))</f>
        <v/>
      </c>
      <c r="U737" s="241"/>
      <c r="V737" s="275" t="e">
        <f>IF(C737="",NA(),MATCH($B737&amp;$C737,'Smelter Look-up'!$J:$J,0))</f>
        <v>#N/A</v>
      </c>
      <c r="W737" s="276"/>
      <c r="X737" s="276">
        <f t="shared" ca="1" si="106"/>
        <v>0</v>
      </c>
      <c r="Y737" s="276"/>
      <c r="Z737" s="276"/>
      <c r="AB737" s="278" t="str">
        <f t="shared" si="107"/>
        <v/>
      </c>
    </row>
    <row r="738" spans="1:28" s="277" customFormat="1" ht="20.25">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105"/>
        <v/>
      </c>
      <c r="T738" s="225" t="str">
        <f ca="1">IF(B738="","",IF(ISERROR(MATCH($J738,SorP!$B$1:$B$6230,0)),"",INDIRECT("'SorP'!$A$"&amp;MATCH($J738,SorP!$B$1:$B$6230,0))))</f>
        <v/>
      </c>
      <c r="U738" s="241"/>
      <c r="V738" s="275" t="e">
        <f>IF(C738="",NA(),MATCH($B738&amp;$C738,'Smelter Look-up'!$J:$J,0))</f>
        <v>#N/A</v>
      </c>
      <c r="W738" s="276"/>
      <c r="X738" s="276">
        <f t="shared" ca="1" si="106"/>
        <v>0</v>
      </c>
      <c r="Y738" s="276"/>
      <c r="Z738" s="276"/>
      <c r="AB738" s="278" t="str">
        <f t="shared" si="107"/>
        <v/>
      </c>
    </row>
    <row r="739" spans="1:28" s="277" customFormat="1" ht="20.25">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105"/>
        <v/>
      </c>
      <c r="T739" s="225" t="str">
        <f ca="1">IF(B739="","",IF(ISERROR(MATCH($J739,SorP!$B$1:$B$6230,0)),"",INDIRECT("'SorP'!$A$"&amp;MATCH($J739,SorP!$B$1:$B$6230,0))))</f>
        <v/>
      </c>
      <c r="U739" s="241"/>
      <c r="V739" s="275" t="e">
        <f>IF(C739="",NA(),MATCH($B739&amp;$C739,'Smelter Look-up'!$J:$J,0))</f>
        <v>#N/A</v>
      </c>
      <c r="W739" s="276"/>
      <c r="X739" s="276">
        <f t="shared" ca="1" si="106"/>
        <v>0</v>
      </c>
      <c r="Y739" s="276"/>
      <c r="Z739" s="276"/>
      <c r="AB739" s="278" t="str">
        <f t="shared" si="107"/>
        <v/>
      </c>
    </row>
    <row r="740" spans="1:28" s="277" customFormat="1" ht="20.25">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105"/>
        <v/>
      </c>
      <c r="T740" s="225" t="str">
        <f ca="1">IF(B740="","",IF(ISERROR(MATCH($J740,SorP!$B$1:$B$6230,0)),"",INDIRECT("'SorP'!$A$"&amp;MATCH($J740,SorP!$B$1:$B$6230,0))))</f>
        <v/>
      </c>
      <c r="U740" s="241"/>
      <c r="V740" s="275" t="e">
        <f>IF(C740="",NA(),MATCH($B740&amp;$C740,'Smelter Look-up'!$J:$J,0))</f>
        <v>#N/A</v>
      </c>
      <c r="W740" s="276"/>
      <c r="X740" s="276">
        <f t="shared" ca="1" si="106"/>
        <v>0</v>
      </c>
      <c r="Y740" s="276"/>
      <c r="Z740" s="276"/>
      <c r="AB740" s="278" t="str">
        <f t="shared" si="107"/>
        <v/>
      </c>
    </row>
    <row r="741" spans="1:28" s="277" customFormat="1" ht="20.25">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105"/>
        <v/>
      </c>
      <c r="T741" s="225" t="str">
        <f ca="1">IF(B741="","",IF(ISERROR(MATCH($J741,SorP!$B$1:$B$6230,0)),"",INDIRECT("'SorP'!$A$"&amp;MATCH($J741,SorP!$B$1:$B$6230,0))))</f>
        <v/>
      </c>
      <c r="U741" s="241"/>
      <c r="V741" s="275" t="e">
        <f>IF(C741="",NA(),MATCH($B741&amp;$C741,'Smelter Look-up'!$J:$J,0))</f>
        <v>#N/A</v>
      </c>
      <c r="W741" s="276"/>
      <c r="X741" s="276">
        <f t="shared" ca="1" si="106"/>
        <v>0</v>
      </c>
      <c r="Y741" s="276"/>
      <c r="Z741" s="276"/>
      <c r="AB741" s="278" t="str">
        <f t="shared" si="107"/>
        <v/>
      </c>
    </row>
    <row r="742" spans="1:28" s="277" customFormat="1" ht="20.25">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105"/>
        <v/>
      </c>
      <c r="T742" s="225" t="str">
        <f ca="1">IF(B742="","",IF(ISERROR(MATCH($J742,SorP!$B$1:$B$6230,0)),"",INDIRECT("'SorP'!$A$"&amp;MATCH($J742,SorP!$B$1:$B$6230,0))))</f>
        <v/>
      </c>
      <c r="U742" s="241"/>
      <c r="V742" s="275" t="e">
        <f>IF(C742="",NA(),MATCH($B742&amp;$C742,'Smelter Look-up'!$J:$J,0))</f>
        <v>#N/A</v>
      </c>
      <c r="W742" s="276"/>
      <c r="X742" s="276">
        <f t="shared" ca="1" si="106"/>
        <v>0</v>
      </c>
      <c r="Y742" s="276"/>
      <c r="Z742" s="276"/>
      <c r="AB742" s="278" t="str">
        <f t="shared" si="107"/>
        <v/>
      </c>
    </row>
    <row r="743" spans="1:28" s="277" customFormat="1" ht="20.25">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105"/>
        <v/>
      </c>
      <c r="T743" s="225" t="str">
        <f ca="1">IF(B743="","",IF(ISERROR(MATCH($J743,SorP!$B$1:$B$6230,0)),"",INDIRECT("'SorP'!$A$"&amp;MATCH($J743,SorP!$B$1:$B$6230,0))))</f>
        <v/>
      </c>
      <c r="U743" s="241"/>
      <c r="V743" s="275" t="e">
        <f>IF(C743="",NA(),MATCH($B743&amp;$C743,'Smelter Look-up'!$J:$J,0))</f>
        <v>#N/A</v>
      </c>
      <c r="W743" s="276"/>
      <c r="X743" s="276">
        <f t="shared" ca="1" si="106"/>
        <v>0</v>
      </c>
      <c r="Y743" s="276"/>
      <c r="Z743" s="276"/>
      <c r="AB743" s="278" t="str">
        <f t="shared" si="107"/>
        <v/>
      </c>
    </row>
    <row r="744" spans="1:28" s="277" customFormat="1" ht="20.25">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105"/>
        <v/>
      </c>
      <c r="T744" s="225" t="str">
        <f ca="1">IF(B744="","",IF(ISERROR(MATCH($J744,SorP!$B$1:$B$6230,0)),"",INDIRECT("'SorP'!$A$"&amp;MATCH($J744,SorP!$B$1:$B$6230,0))))</f>
        <v/>
      </c>
      <c r="U744" s="241"/>
      <c r="V744" s="275" t="e">
        <f>IF(C744="",NA(),MATCH($B744&amp;$C744,'Smelter Look-up'!$J:$J,0))</f>
        <v>#N/A</v>
      </c>
      <c r="W744" s="276"/>
      <c r="X744" s="276">
        <f t="shared" ca="1" si="106"/>
        <v>0</v>
      </c>
      <c r="Y744" s="276"/>
      <c r="Z744" s="276"/>
      <c r="AB744" s="278" t="str">
        <f t="shared" si="107"/>
        <v/>
      </c>
    </row>
    <row r="745" spans="1:28" s="277" customFormat="1" ht="20.25">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105"/>
        <v/>
      </c>
      <c r="T745" s="225" t="str">
        <f ca="1">IF(B745="","",IF(ISERROR(MATCH($J745,SorP!$B$1:$B$6230,0)),"",INDIRECT("'SorP'!$A$"&amp;MATCH($J745,SorP!$B$1:$B$6230,0))))</f>
        <v/>
      </c>
      <c r="U745" s="241"/>
      <c r="V745" s="275" t="e">
        <f>IF(C745="",NA(),MATCH($B745&amp;$C745,'Smelter Look-up'!$J:$J,0))</f>
        <v>#N/A</v>
      </c>
      <c r="W745" s="276"/>
      <c r="X745" s="276">
        <f t="shared" ca="1" si="106"/>
        <v>0</v>
      </c>
      <c r="Y745" s="276"/>
      <c r="Z745" s="276"/>
      <c r="AB745" s="278" t="str">
        <f t="shared" si="107"/>
        <v/>
      </c>
    </row>
    <row r="746" spans="1:28" s="277" customFormat="1" ht="20.25">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105"/>
        <v/>
      </c>
      <c r="T746" s="225" t="str">
        <f ca="1">IF(B746="","",IF(ISERROR(MATCH($J746,SorP!$B$1:$B$6230,0)),"",INDIRECT("'SorP'!$A$"&amp;MATCH($J746,SorP!$B$1:$B$6230,0))))</f>
        <v/>
      </c>
      <c r="U746" s="241"/>
      <c r="V746" s="275" t="e">
        <f>IF(C746="",NA(),MATCH($B746&amp;$C746,'Smelter Look-up'!$J:$J,0))</f>
        <v>#N/A</v>
      </c>
      <c r="W746" s="276"/>
      <c r="X746" s="276">
        <f t="shared" ca="1" si="106"/>
        <v>0</v>
      </c>
      <c r="Y746" s="276"/>
      <c r="Z746" s="276"/>
      <c r="AB746" s="278" t="str">
        <f t="shared" si="107"/>
        <v/>
      </c>
    </row>
    <row r="747" spans="1:28" s="277" customFormat="1" ht="20.25">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105"/>
        <v/>
      </c>
      <c r="T747" s="225" t="str">
        <f ca="1">IF(B747="","",IF(ISERROR(MATCH($J747,SorP!$B$1:$B$6230,0)),"",INDIRECT("'SorP'!$A$"&amp;MATCH($J747,SorP!$B$1:$B$6230,0))))</f>
        <v/>
      </c>
      <c r="U747" s="241"/>
      <c r="V747" s="275" t="e">
        <f>IF(C747="",NA(),MATCH($B747&amp;$C747,'Smelter Look-up'!$J:$J,0))</f>
        <v>#N/A</v>
      </c>
      <c r="W747" s="276"/>
      <c r="X747" s="276">
        <f t="shared" ca="1" si="106"/>
        <v>0</v>
      </c>
      <c r="Y747" s="276"/>
      <c r="Z747" s="276"/>
      <c r="AB747" s="278" t="str">
        <f t="shared" si="107"/>
        <v/>
      </c>
    </row>
    <row r="748" spans="1:28" s="277" customFormat="1" ht="20.25">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105"/>
        <v/>
      </c>
      <c r="T748" s="225" t="str">
        <f ca="1">IF(B748="","",IF(ISERROR(MATCH($J748,SorP!$B$1:$B$6230,0)),"",INDIRECT("'SorP'!$A$"&amp;MATCH($J748,SorP!$B$1:$B$6230,0))))</f>
        <v/>
      </c>
      <c r="U748" s="241"/>
      <c r="V748" s="275" t="e">
        <f>IF(C748="",NA(),MATCH($B748&amp;$C748,'Smelter Look-up'!$J:$J,0))</f>
        <v>#N/A</v>
      </c>
      <c r="W748" s="276"/>
      <c r="X748" s="276">
        <f t="shared" ca="1" si="106"/>
        <v>0</v>
      </c>
      <c r="Y748" s="276"/>
      <c r="Z748" s="276"/>
      <c r="AB748" s="278" t="str">
        <f t="shared" si="107"/>
        <v/>
      </c>
    </row>
    <row r="749" spans="1:28" s="277" customFormat="1" ht="20.25">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105"/>
        <v/>
      </c>
      <c r="T749" s="225" t="str">
        <f ca="1">IF(B749="","",IF(ISERROR(MATCH($J749,SorP!$B$1:$B$6230,0)),"",INDIRECT("'SorP'!$A$"&amp;MATCH($J749,SorP!$B$1:$B$6230,0))))</f>
        <v/>
      </c>
      <c r="U749" s="241"/>
      <c r="V749" s="275" t="e">
        <f>IF(C749="",NA(),MATCH($B749&amp;$C749,'Smelter Look-up'!$J:$J,0))</f>
        <v>#N/A</v>
      </c>
      <c r="W749" s="276"/>
      <c r="X749" s="276">
        <f t="shared" ca="1" si="106"/>
        <v>0</v>
      </c>
      <c r="Y749" s="276"/>
      <c r="Z749" s="276"/>
      <c r="AB749" s="278" t="str">
        <f t="shared" si="107"/>
        <v/>
      </c>
    </row>
    <row r="750" spans="1:28" s="277" customFormat="1" ht="20.25">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105"/>
        <v/>
      </c>
      <c r="T750" s="225" t="str">
        <f ca="1">IF(B750="","",IF(ISERROR(MATCH($J750,SorP!$B$1:$B$6230,0)),"",INDIRECT("'SorP'!$A$"&amp;MATCH($J750,SorP!$B$1:$B$6230,0))))</f>
        <v/>
      </c>
      <c r="U750" s="241"/>
      <c r="V750" s="275" t="e">
        <f>IF(C750="",NA(),MATCH($B750&amp;$C750,'Smelter Look-up'!$J:$J,0))</f>
        <v>#N/A</v>
      </c>
      <c r="W750" s="276"/>
      <c r="X750" s="276">
        <f t="shared" ca="1" si="106"/>
        <v>0</v>
      </c>
      <c r="Y750" s="276"/>
      <c r="Z750" s="276"/>
      <c r="AB750" s="278" t="str">
        <f t="shared" si="107"/>
        <v/>
      </c>
    </row>
    <row r="751" spans="1:28" s="277" customFormat="1" ht="20.25">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ca="1" si="105"/>
        <v/>
      </c>
      <c r="T751" s="225" t="str">
        <f ca="1">IF(B751="","",IF(ISERROR(MATCH($J751,SorP!$B$1:$B$6230,0)),"",INDIRECT("'SorP'!$A$"&amp;MATCH($J751,SorP!$B$1:$B$6230,0))))</f>
        <v/>
      </c>
      <c r="U751" s="241"/>
      <c r="V751" s="275" t="e">
        <f>IF(C751="",NA(),MATCH($B751&amp;$C751,'Smelter Look-up'!$J:$J,0))</f>
        <v>#N/A</v>
      </c>
      <c r="W751" s="276"/>
      <c r="X751" s="276">
        <f t="shared" ca="1" si="106"/>
        <v>0</v>
      </c>
      <c r="Y751" s="276"/>
      <c r="Z751" s="276"/>
      <c r="AB751" s="278" t="str">
        <f t="shared" si="107"/>
        <v/>
      </c>
    </row>
    <row r="752" spans="1:28" s="277" customFormat="1" ht="20.25">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ca="1" si="105"/>
        <v/>
      </c>
      <c r="T752" s="225" t="str">
        <f ca="1">IF(B752="","",IF(ISERROR(MATCH($J752,SorP!$B$1:$B$6230,0)),"",INDIRECT("'SorP'!$A$"&amp;MATCH($J752,SorP!$B$1:$B$6230,0))))</f>
        <v/>
      </c>
      <c r="U752" s="241"/>
      <c r="V752" s="275" t="e">
        <f>IF(C752="",NA(),MATCH($B752&amp;$C752,'Smelter Look-up'!$J:$J,0))</f>
        <v>#N/A</v>
      </c>
      <c r="W752" s="276"/>
      <c r="X752" s="276">
        <f t="shared" ca="1" si="106"/>
        <v>0</v>
      </c>
      <c r="Y752" s="276"/>
      <c r="Z752" s="276"/>
      <c r="AB752" s="278" t="str">
        <f t="shared" si="107"/>
        <v/>
      </c>
    </row>
    <row r="753" spans="1:28" s="277" customFormat="1" ht="20.25">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ca="1" si="105"/>
        <v/>
      </c>
      <c r="T753" s="225" t="str">
        <f ca="1">IF(B753="","",IF(ISERROR(MATCH($J753,SorP!$B$1:$B$6230,0)),"",INDIRECT("'SorP'!$A$"&amp;MATCH($J753,SorP!$B$1:$B$6230,0))))</f>
        <v/>
      </c>
      <c r="U753" s="241"/>
      <c r="V753" s="275" t="e">
        <f>IF(C753="",NA(),MATCH($B753&amp;$C753,'Smelter Look-up'!$J:$J,0))</f>
        <v>#N/A</v>
      </c>
      <c r="W753" s="276"/>
      <c r="X753" s="276">
        <f t="shared" ca="1" si="106"/>
        <v>0</v>
      </c>
      <c r="Y753" s="276"/>
      <c r="Z753" s="276"/>
      <c r="AB753" s="278" t="str">
        <f t="shared" si="107"/>
        <v/>
      </c>
    </row>
    <row r="754" spans="1:28" s="277" customFormat="1" ht="20.25">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ca="1" si="105"/>
        <v/>
      </c>
      <c r="T754" s="225" t="str">
        <f ca="1">IF(B754="","",IF(ISERROR(MATCH($J754,SorP!$B$1:$B$6230,0)),"",INDIRECT("'SorP'!$A$"&amp;MATCH($J754,SorP!$B$1:$B$6230,0))))</f>
        <v/>
      </c>
      <c r="U754" s="241"/>
      <c r="V754" s="275" t="e">
        <f>IF(C754="",NA(),MATCH($B754&amp;$C754,'Smelter Look-up'!$J:$J,0))</f>
        <v>#N/A</v>
      </c>
      <c r="W754" s="276"/>
      <c r="X754" s="276">
        <f t="shared" ca="1" si="106"/>
        <v>0</v>
      </c>
      <c r="Y754" s="276"/>
      <c r="Z754" s="276"/>
      <c r="AB754" s="278" t="str">
        <f t="shared" si="107"/>
        <v/>
      </c>
    </row>
    <row r="755" spans="1:28" s="277" customFormat="1" ht="20.25">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105"/>
        <v/>
      </c>
      <c r="T755" s="225" t="str">
        <f ca="1">IF(B755="","",IF(ISERROR(MATCH($J755,SorP!$B$1:$B$6230,0)),"",INDIRECT("'SorP'!$A$"&amp;MATCH($J755,SorP!$B$1:$B$6230,0))))</f>
        <v/>
      </c>
      <c r="U755" s="241"/>
      <c r="V755" s="275" t="e">
        <f>IF(C755="",NA(),MATCH($B755&amp;$C755,'Smelter Look-up'!$J:$J,0))</f>
        <v>#N/A</v>
      </c>
      <c r="W755" s="276"/>
      <c r="X755" s="276">
        <f t="shared" ca="1" si="106"/>
        <v>0</v>
      </c>
      <c r="Y755" s="276"/>
      <c r="Z755" s="276"/>
      <c r="AB755" s="278" t="str">
        <f t="shared" si="107"/>
        <v/>
      </c>
    </row>
    <row r="756" spans="1:28" s="277" customFormat="1" ht="20.25">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105"/>
        <v/>
      </c>
      <c r="T756" s="225" t="str">
        <f ca="1">IF(B756="","",IF(ISERROR(MATCH($J756,SorP!$B$1:$B$6230,0)),"",INDIRECT("'SorP'!$A$"&amp;MATCH($J756,SorP!$B$1:$B$6230,0))))</f>
        <v/>
      </c>
      <c r="U756" s="241"/>
      <c r="V756" s="275" t="e">
        <f>IF(C756="",NA(),MATCH($B756&amp;$C756,'Smelter Look-up'!$J:$J,0))</f>
        <v>#N/A</v>
      </c>
      <c r="W756" s="276"/>
      <c r="X756" s="276">
        <f t="shared" ca="1" si="106"/>
        <v>0</v>
      </c>
      <c r="Y756" s="276"/>
      <c r="Z756" s="276"/>
      <c r="AB756" s="278" t="str">
        <f t="shared" si="107"/>
        <v/>
      </c>
    </row>
    <row r="757" spans="1:28" s="277" customFormat="1" ht="20.25">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105"/>
        <v/>
      </c>
      <c r="T757" s="225" t="str">
        <f ca="1">IF(B757="","",IF(ISERROR(MATCH($J757,SorP!$B$1:$B$6230,0)),"",INDIRECT("'SorP'!$A$"&amp;MATCH($J757,SorP!$B$1:$B$6230,0))))</f>
        <v/>
      </c>
      <c r="U757" s="241"/>
      <c r="V757" s="275" t="e">
        <f>IF(C757="",NA(),MATCH($B757&amp;$C757,'Smelter Look-up'!$J:$J,0))</f>
        <v>#N/A</v>
      </c>
      <c r="W757" s="276"/>
      <c r="X757" s="276">
        <f t="shared" ca="1" si="106"/>
        <v>0</v>
      </c>
      <c r="Y757" s="276"/>
      <c r="Z757" s="276"/>
      <c r="AB757" s="278" t="str">
        <f t="shared" si="107"/>
        <v/>
      </c>
    </row>
    <row r="758" spans="1:28" s="277" customFormat="1" ht="20.25">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105"/>
        <v/>
      </c>
      <c r="T758" s="225" t="str">
        <f ca="1">IF(B758="","",IF(ISERROR(MATCH($J758,SorP!$B$1:$B$6230,0)),"",INDIRECT("'SorP'!$A$"&amp;MATCH($J758,SorP!$B$1:$B$6230,0))))</f>
        <v/>
      </c>
      <c r="U758" s="241"/>
      <c r="V758" s="275" t="e">
        <f>IF(C758="",NA(),MATCH($B758&amp;$C758,'Smelter Look-up'!$J:$J,0))</f>
        <v>#N/A</v>
      </c>
      <c r="W758" s="276"/>
      <c r="X758" s="276">
        <f t="shared" ca="1" si="106"/>
        <v>0</v>
      </c>
      <c r="Y758" s="276"/>
      <c r="Z758" s="276"/>
      <c r="AB758" s="278" t="str">
        <f t="shared" si="107"/>
        <v/>
      </c>
    </row>
    <row r="759" spans="1:28" s="277" customFormat="1" ht="20.25">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105"/>
        <v/>
      </c>
      <c r="T759" s="225" t="str">
        <f ca="1">IF(B759="","",IF(ISERROR(MATCH($J759,SorP!$B$1:$B$6230,0)),"",INDIRECT("'SorP'!$A$"&amp;MATCH($J759,SorP!$B$1:$B$6230,0))))</f>
        <v/>
      </c>
      <c r="U759" s="241"/>
      <c r="V759" s="275" t="e">
        <f>IF(C759="",NA(),MATCH($B759&amp;$C759,'Smelter Look-up'!$J:$J,0))</f>
        <v>#N/A</v>
      </c>
      <c r="W759" s="276"/>
      <c r="X759" s="276">
        <f t="shared" ca="1" si="106"/>
        <v>0</v>
      </c>
      <c r="Y759" s="276"/>
      <c r="Z759" s="276"/>
      <c r="AB759" s="278" t="str">
        <f t="shared" si="107"/>
        <v/>
      </c>
    </row>
    <row r="760" spans="1:28" s="277" customFormat="1" ht="20.25">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105"/>
        <v/>
      </c>
      <c r="T760" s="225" t="str">
        <f ca="1">IF(B760="","",IF(ISERROR(MATCH($J760,SorP!$B$1:$B$6230,0)),"",INDIRECT("'SorP'!$A$"&amp;MATCH($J760,SorP!$B$1:$B$6230,0))))</f>
        <v/>
      </c>
      <c r="U760" s="241"/>
      <c r="V760" s="275" t="e">
        <f>IF(C760="",NA(),MATCH($B760&amp;$C760,'Smelter Look-up'!$J:$J,0))</f>
        <v>#N/A</v>
      </c>
      <c r="W760" s="276"/>
      <c r="X760" s="276">
        <f t="shared" ca="1" si="106"/>
        <v>0</v>
      </c>
      <c r="Y760" s="276"/>
      <c r="Z760" s="276"/>
      <c r="AB760" s="278" t="str">
        <f t="shared" si="107"/>
        <v/>
      </c>
    </row>
    <row r="761" spans="1:28" s="277" customFormat="1" ht="20.25">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105"/>
        <v/>
      </c>
      <c r="T761" s="225" t="str">
        <f ca="1">IF(B761="","",IF(ISERROR(MATCH($J761,SorP!$B$1:$B$6230,0)),"",INDIRECT("'SorP'!$A$"&amp;MATCH($J761,SorP!$B$1:$B$6230,0))))</f>
        <v/>
      </c>
      <c r="U761" s="241"/>
      <c r="V761" s="275" t="e">
        <f>IF(C761="",NA(),MATCH($B761&amp;$C761,'Smelter Look-up'!$J:$J,0))</f>
        <v>#N/A</v>
      </c>
      <c r="W761" s="276"/>
      <c r="X761" s="276">
        <f t="shared" ca="1" si="106"/>
        <v>0</v>
      </c>
      <c r="Y761" s="276"/>
      <c r="Z761" s="276"/>
      <c r="AB761" s="278" t="str">
        <f t="shared" si="107"/>
        <v/>
      </c>
    </row>
    <row r="762" spans="1:28" s="277" customFormat="1" ht="20.25">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ca="1" si="105"/>
        <v/>
      </c>
      <c r="T762" s="225" t="str">
        <f ca="1">IF(B762="","",IF(ISERROR(MATCH($J762,SorP!$B$1:$B$6230,0)),"",INDIRECT("'SorP'!$A$"&amp;MATCH($J762,SorP!$B$1:$B$6230,0))))</f>
        <v/>
      </c>
      <c r="U762" s="241"/>
      <c r="V762" s="275" t="e">
        <f>IF(C762="",NA(),MATCH($B762&amp;$C762,'Smelter Look-up'!$J:$J,0))</f>
        <v>#N/A</v>
      </c>
      <c r="W762" s="276"/>
      <c r="X762" s="276">
        <f t="shared" ca="1" si="106"/>
        <v>0</v>
      </c>
      <c r="Y762" s="276"/>
      <c r="Z762" s="276"/>
      <c r="AB762" s="278" t="str">
        <f t="shared" si="107"/>
        <v/>
      </c>
    </row>
    <row r="763" spans="1:28" s="277" customFormat="1" ht="20.25">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ref="S763" ca="1" si="108">IF(B763="","",IF(ISERROR(MATCH($E763,CL,0)),"Unknown",INDIRECT("'C'!$A$"&amp;MATCH($E763,CL,0)+1)))</f>
        <v/>
      </c>
      <c r="T763" s="225" t="str">
        <f ca="1">IF(B763="","",IF(ISERROR(MATCH($J763,SorP!$B$1:$B$6230,0)),"",INDIRECT("'SorP'!$A$"&amp;MATCH($J763,SorP!$B$1:$B$6230,0))))</f>
        <v/>
      </c>
      <c r="U763" s="241"/>
      <c r="V763" s="275" t="e">
        <f>IF(C763="",NA(),MATCH($B763&amp;$C763,'Smelter Look-up'!$J:$J,0))</f>
        <v>#N/A</v>
      </c>
      <c r="W763" s="276"/>
      <c r="X763" s="276">
        <f t="shared" ref="X763" ca="1" si="109">IF(AND(C763="Smelter not listed",OR(LEN(D763)=0,LEN(E763)=0)),1,0)</f>
        <v>0</v>
      </c>
      <c r="Y763" s="276"/>
      <c r="Z763" s="276"/>
      <c r="AB763" s="278" t="str">
        <f t="shared" ref="AB763" si="110">B763&amp;C763</f>
        <v/>
      </c>
    </row>
    <row r="764" spans="1:28" s="277" customFormat="1" ht="20.25">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ref="S764:S795" ca="1" si="111">IF(B764="","",IF(ISERROR(MATCH($E764,CL,0)),"Unknown",INDIRECT("'C'!$A$"&amp;MATCH($E764,CL,0)+1)))</f>
        <v/>
      </c>
      <c r="T764" s="225" t="str">
        <f ca="1">IF(B764="","",IF(ISERROR(MATCH($J764,SorP!$B$1:$B$6230,0)),"",INDIRECT("'SorP'!$A$"&amp;MATCH($J764,SorP!$B$1:$B$6230,0))))</f>
        <v/>
      </c>
      <c r="U764" s="241"/>
      <c r="V764" s="275" t="e">
        <f>IF(C764="",NA(),MATCH($B764&amp;$C764,'Smelter Look-up'!$J:$J,0))</f>
        <v>#N/A</v>
      </c>
      <c r="W764" s="276"/>
      <c r="X764" s="276">
        <f t="shared" ref="X764:X795" ca="1" si="112">IF(AND(C764="Smelter not listed",OR(LEN(D764)=0,LEN(E764)=0)),1,0)</f>
        <v>0</v>
      </c>
      <c r="Y764" s="276"/>
      <c r="Z764" s="276"/>
      <c r="AB764" s="278" t="str">
        <f t="shared" ref="AB764:AB795" si="113">B764&amp;C764</f>
        <v/>
      </c>
    </row>
    <row r="765" spans="1:28" s="277" customFormat="1" ht="20.25">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11"/>
        <v/>
      </c>
      <c r="T765" s="225" t="str">
        <f ca="1">IF(B765="","",IF(ISERROR(MATCH($J765,SorP!$B$1:$B$6230,0)),"",INDIRECT("'SorP'!$A$"&amp;MATCH($J765,SorP!$B$1:$B$6230,0))))</f>
        <v/>
      </c>
      <c r="U765" s="241"/>
      <c r="V765" s="275" t="e">
        <f>IF(C765="",NA(),MATCH($B765&amp;$C765,'Smelter Look-up'!$J:$J,0))</f>
        <v>#N/A</v>
      </c>
      <c r="W765" s="276"/>
      <c r="X765" s="276">
        <f t="shared" ca="1" si="112"/>
        <v>0</v>
      </c>
      <c r="Y765" s="276"/>
      <c r="Z765" s="276"/>
      <c r="AB765" s="278" t="str">
        <f t="shared" si="113"/>
        <v/>
      </c>
    </row>
    <row r="766" spans="1:28" s="277" customFormat="1" ht="20.25">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11"/>
        <v/>
      </c>
      <c r="T766" s="225" t="str">
        <f ca="1">IF(B766="","",IF(ISERROR(MATCH($J766,SorP!$B$1:$B$6230,0)),"",INDIRECT("'SorP'!$A$"&amp;MATCH($J766,SorP!$B$1:$B$6230,0))))</f>
        <v/>
      </c>
      <c r="U766" s="241"/>
      <c r="V766" s="275" t="e">
        <f>IF(C766="",NA(),MATCH($B766&amp;$C766,'Smelter Look-up'!$J:$J,0))</f>
        <v>#N/A</v>
      </c>
      <c r="W766" s="276"/>
      <c r="X766" s="276">
        <f t="shared" ca="1" si="112"/>
        <v>0</v>
      </c>
      <c r="Y766" s="276"/>
      <c r="Z766" s="276"/>
      <c r="AB766" s="278" t="str">
        <f t="shared" si="113"/>
        <v/>
      </c>
    </row>
    <row r="767" spans="1:28" s="277" customFormat="1" ht="20.25">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11"/>
        <v/>
      </c>
      <c r="T767" s="225" t="str">
        <f ca="1">IF(B767="","",IF(ISERROR(MATCH($J767,SorP!$B$1:$B$6230,0)),"",INDIRECT("'SorP'!$A$"&amp;MATCH($J767,SorP!$B$1:$B$6230,0))))</f>
        <v/>
      </c>
      <c r="U767" s="241"/>
      <c r="V767" s="275" t="e">
        <f>IF(C767="",NA(),MATCH($B767&amp;$C767,'Smelter Look-up'!$J:$J,0))</f>
        <v>#N/A</v>
      </c>
      <c r="W767" s="276"/>
      <c r="X767" s="276">
        <f t="shared" ca="1" si="112"/>
        <v>0</v>
      </c>
      <c r="Y767" s="276"/>
      <c r="Z767" s="276"/>
      <c r="AB767" s="278" t="str">
        <f t="shared" si="113"/>
        <v/>
      </c>
    </row>
    <row r="768" spans="1:28" s="277" customFormat="1" ht="20.25">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11"/>
        <v/>
      </c>
      <c r="T768" s="225" t="str">
        <f ca="1">IF(B768="","",IF(ISERROR(MATCH($J768,SorP!$B$1:$B$6230,0)),"",INDIRECT("'SorP'!$A$"&amp;MATCH($J768,SorP!$B$1:$B$6230,0))))</f>
        <v/>
      </c>
      <c r="U768" s="241"/>
      <c r="V768" s="275" t="e">
        <f>IF(C768="",NA(),MATCH($B768&amp;$C768,'Smelter Look-up'!$J:$J,0))</f>
        <v>#N/A</v>
      </c>
      <c r="W768" s="276"/>
      <c r="X768" s="276">
        <f t="shared" ca="1" si="112"/>
        <v>0</v>
      </c>
      <c r="Y768" s="276"/>
      <c r="Z768" s="276"/>
      <c r="AB768" s="278" t="str">
        <f t="shared" si="113"/>
        <v/>
      </c>
    </row>
    <row r="769" spans="1:28" s="277" customFormat="1" ht="20.25">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11"/>
        <v/>
      </c>
      <c r="T769" s="225" t="str">
        <f ca="1">IF(B769="","",IF(ISERROR(MATCH($J769,SorP!$B$1:$B$6230,0)),"",INDIRECT("'SorP'!$A$"&amp;MATCH($J769,SorP!$B$1:$B$6230,0))))</f>
        <v/>
      </c>
      <c r="U769" s="241"/>
      <c r="V769" s="275" t="e">
        <f>IF(C769="",NA(),MATCH($B769&amp;$C769,'Smelter Look-up'!$J:$J,0))</f>
        <v>#N/A</v>
      </c>
      <c r="W769" s="276"/>
      <c r="X769" s="276">
        <f t="shared" ca="1" si="112"/>
        <v>0</v>
      </c>
      <c r="Y769" s="276"/>
      <c r="Z769" s="276"/>
      <c r="AB769" s="278" t="str">
        <f t="shared" si="113"/>
        <v/>
      </c>
    </row>
    <row r="770" spans="1:28" s="277" customFormat="1" ht="20.25">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11"/>
        <v/>
      </c>
      <c r="T770" s="225" t="str">
        <f ca="1">IF(B770="","",IF(ISERROR(MATCH($J770,SorP!$B$1:$B$6230,0)),"",INDIRECT("'SorP'!$A$"&amp;MATCH($J770,SorP!$B$1:$B$6230,0))))</f>
        <v/>
      </c>
      <c r="U770" s="241"/>
      <c r="V770" s="275" t="e">
        <f>IF(C770="",NA(),MATCH($B770&amp;$C770,'Smelter Look-up'!$J:$J,0))</f>
        <v>#N/A</v>
      </c>
      <c r="W770" s="276"/>
      <c r="X770" s="276">
        <f t="shared" ca="1" si="112"/>
        <v>0</v>
      </c>
      <c r="Y770" s="276"/>
      <c r="Z770" s="276"/>
      <c r="AB770" s="278" t="str">
        <f t="shared" si="113"/>
        <v/>
      </c>
    </row>
    <row r="771" spans="1:28" s="277" customFormat="1" ht="20.25">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11"/>
        <v/>
      </c>
      <c r="T771" s="225" t="str">
        <f ca="1">IF(B771="","",IF(ISERROR(MATCH($J771,SorP!$B$1:$B$6230,0)),"",INDIRECT("'SorP'!$A$"&amp;MATCH($J771,SorP!$B$1:$B$6230,0))))</f>
        <v/>
      </c>
      <c r="U771" s="241"/>
      <c r="V771" s="275" t="e">
        <f>IF(C771="",NA(),MATCH($B771&amp;$C771,'Smelter Look-up'!$J:$J,0))</f>
        <v>#N/A</v>
      </c>
      <c r="W771" s="276"/>
      <c r="X771" s="276">
        <f t="shared" ca="1" si="112"/>
        <v>0</v>
      </c>
      <c r="Y771" s="276"/>
      <c r="Z771" s="276"/>
      <c r="AB771" s="278" t="str">
        <f t="shared" si="113"/>
        <v/>
      </c>
    </row>
    <row r="772" spans="1:28" s="277" customFormat="1" ht="20.25">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11"/>
        <v/>
      </c>
      <c r="T772" s="225" t="str">
        <f ca="1">IF(B772="","",IF(ISERROR(MATCH($J772,SorP!$B$1:$B$6230,0)),"",INDIRECT("'SorP'!$A$"&amp;MATCH($J772,SorP!$B$1:$B$6230,0))))</f>
        <v/>
      </c>
      <c r="U772" s="241"/>
      <c r="V772" s="275" t="e">
        <f>IF(C772="",NA(),MATCH($B772&amp;$C772,'Smelter Look-up'!$J:$J,0))</f>
        <v>#N/A</v>
      </c>
      <c r="W772" s="276"/>
      <c r="X772" s="276">
        <f t="shared" ca="1" si="112"/>
        <v>0</v>
      </c>
      <c r="Y772" s="276"/>
      <c r="Z772" s="276"/>
      <c r="AB772" s="278" t="str">
        <f t="shared" si="113"/>
        <v/>
      </c>
    </row>
    <row r="773" spans="1:28" s="277" customFormat="1" ht="20.25">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11"/>
        <v/>
      </c>
      <c r="T773" s="225" t="str">
        <f ca="1">IF(B773="","",IF(ISERROR(MATCH($J773,SorP!$B$1:$B$6230,0)),"",INDIRECT("'SorP'!$A$"&amp;MATCH($J773,SorP!$B$1:$B$6230,0))))</f>
        <v/>
      </c>
      <c r="U773" s="241"/>
      <c r="V773" s="275" t="e">
        <f>IF(C773="",NA(),MATCH($B773&amp;$C773,'Smelter Look-up'!$J:$J,0))</f>
        <v>#N/A</v>
      </c>
      <c r="W773" s="276"/>
      <c r="X773" s="276">
        <f t="shared" ca="1" si="112"/>
        <v>0</v>
      </c>
      <c r="Y773" s="276"/>
      <c r="Z773" s="276"/>
      <c r="AB773" s="278" t="str">
        <f t="shared" si="113"/>
        <v/>
      </c>
    </row>
    <row r="774" spans="1:28" s="277" customFormat="1" ht="20.25">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11"/>
        <v/>
      </c>
      <c r="T774" s="225" t="str">
        <f ca="1">IF(B774="","",IF(ISERROR(MATCH($J774,SorP!$B$1:$B$6230,0)),"",INDIRECT("'SorP'!$A$"&amp;MATCH($J774,SorP!$B$1:$B$6230,0))))</f>
        <v/>
      </c>
      <c r="U774" s="241"/>
      <c r="V774" s="275" t="e">
        <f>IF(C774="",NA(),MATCH($B774&amp;$C774,'Smelter Look-up'!$J:$J,0))</f>
        <v>#N/A</v>
      </c>
      <c r="W774" s="276"/>
      <c r="X774" s="276">
        <f t="shared" ca="1" si="112"/>
        <v>0</v>
      </c>
      <c r="Y774" s="276"/>
      <c r="Z774" s="276"/>
      <c r="AB774" s="278" t="str">
        <f t="shared" si="113"/>
        <v/>
      </c>
    </row>
    <row r="775" spans="1:28" s="277" customFormat="1" ht="20.25">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11"/>
        <v/>
      </c>
      <c r="T775" s="225" t="str">
        <f ca="1">IF(B775="","",IF(ISERROR(MATCH($J775,SorP!$B$1:$B$6230,0)),"",INDIRECT("'SorP'!$A$"&amp;MATCH($J775,SorP!$B$1:$B$6230,0))))</f>
        <v/>
      </c>
      <c r="U775" s="241"/>
      <c r="V775" s="275" t="e">
        <f>IF(C775="",NA(),MATCH($B775&amp;$C775,'Smelter Look-up'!$J:$J,0))</f>
        <v>#N/A</v>
      </c>
      <c r="W775" s="276"/>
      <c r="X775" s="276">
        <f t="shared" ca="1" si="112"/>
        <v>0</v>
      </c>
      <c r="Y775" s="276"/>
      <c r="Z775" s="276"/>
      <c r="AB775" s="278" t="str">
        <f t="shared" si="113"/>
        <v/>
      </c>
    </row>
    <row r="776" spans="1:28" s="277" customFormat="1" ht="20.25">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11"/>
        <v/>
      </c>
      <c r="T776" s="225" t="str">
        <f ca="1">IF(B776="","",IF(ISERROR(MATCH($J776,SorP!$B$1:$B$6230,0)),"",INDIRECT("'SorP'!$A$"&amp;MATCH($J776,SorP!$B$1:$B$6230,0))))</f>
        <v/>
      </c>
      <c r="U776" s="241"/>
      <c r="V776" s="275" t="e">
        <f>IF(C776="",NA(),MATCH($B776&amp;$C776,'Smelter Look-up'!$J:$J,0))</f>
        <v>#N/A</v>
      </c>
      <c r="W776" s="276"/>
      <c r="X776" s="276">
        <f t="shared" ca="1" si="112"/>
        <v>0</v>
      </c>
      <c r="Y776" s="276"/>
      <c r="Z776" s="276"/>
      <c r="AB776" s="278" t="str">
        <f t="shared" si="113"/>
        <v/>
      </c>
    </row>
    <row r="777" spans="1:28" s="277" customFormat="1" ht="20.25">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11"/>
        <v/>
      </c>
      <c r="T777" s="225" t="str">
        <f ca="1">IF(B777="","",IF(ISERROR(MATCH($J777,SorP!$B$1:$B$6230,0)),"",INDIRECT("'SorP'!$A$"&amp;MATCH($J777,SorP!$B$1:$B$6230,0))))</f>
        <v/>
      </c>
      <c r="U777" s="241"/>
      <c r="V777" s="275" t="e">
        <f>IF(C777="",NA(),MATCH($B777&amp;$C777,'Smelter Look-up'!$J:$J,0))</f>
        <v>#N/A</v>
      </c>
      <c r="W777" s="276"/>
      <c r="X777" s="276">
        <f t="shared" ca="1" si="112"/>
        <v>0</v>
      </c>
      <c r="Y777" s="276"/>
      <c r="Z777" s="276"/>
      <c r="AB777" s="278" t="str">
        <f t="shared" si="113"/>
        <v/>
      </c>
    </row>
    <row r="778" spans="1:28" s="277" customFormat="1" ht="20.25">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11"/>
        <v/>
      </c>
      <c r="T778" s="225" t="str">
        <f ca="1">IF(B778="","",IF(ISERROR(MATCH($J778,SorP!$B$1:$B$6230,0)),"",INDIRECT("'SorP'!$A$"&amp;MATCH($J778,SorP!$B$1:$B$6230,0))))</f>
        <v/>
      </c>
      <c r="U778" s="241"/>
      <c r="V778" s="275" t="e">
        <f>IF(C778="",NA(),MATCH($B778&amp;$C778,'Smelter Look-up'!$J:$J,0))</f>
        <v>#N/A</v>
      </c>
      <c r="W778" s="276"/>
      <c r="X778" s="276">
        <f t="shared" ca="1" si="112"/>
        <v>0</v>
      </c>
      <c r="Y778" s="276"/>
      <c r="Z778" s="276"/>
      <c r="AB778" s="278" t="str">
        <f t="shared" si="113"/>
        <v/>
      </c>
    </row>
    <row r="779" spans="1:28" s="277" customFormat="1" ht="20.25">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11"/>
        <v/>
      </c>
      <c r="T779" s="225" t="str">
        <f ca="1">IF(B779="","",IF(ISERROR(MATCH($J779,SorP!$B$1:$B$6230,0)),"",INDIRECT("'SorP'!$A$"&amp;MATCH($J779,SorP!$B$1:$B$6230,0))))</f>
        <v/>
      </c>
      <c r="U779" s="241"/>
      <c r="V779" s="275" t="e">
        <f>IF(C779="",NA(),MATCH($B779&amp;$C779,'Smelter Look-up'!$J:$J,0))</f>
        <v>#N/A</v>
      </c>
      <c r="W779" s="276"/>
      <c r="X779" s="276">
        <f t="shared" ca="1" si="112"/>
        <v>0</v>
      </c>
      <c r="Y779" s="276"/>
      <c r="Z779" s="276"/>
      <c r="AB779" s="278" t="str">
        <f t="shared" si="113"/>
        <v/>
      </c>
    </row>
    <row r="780" spans="1:28" s="277" customFormat="1" ht="20.25">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11"/>
        <v/>
      </c>
      <c r="T780" s="225" t="str">
        <f ca="1">IF(B780="","",IF(ISERROR(MATCH($J780,SorP!$B$1:$B$6230,0)),"",INDIRECT("'SorP'!$A$"&amp;MATCH($J780,SorP!$B$1:$B$6230,0))))</f>
        <v/>
      </c>
      <c r="U780" s="241"/>
      <c r="V780" s="275" t="e">
        <f>IF(C780="",NA(),MATCH($B780&amp;$C780,'Smelter Look-up'!$J:$J,0))</f>
        <v>#N/A</v>
      </c>
      <c r="W780" s="276"/>
      <c r="X780" s="276">
        <f t="shared" ca="1" si="112"/>
        <v>0</v>
      </c>
      <c r="Y780" s="276"/>
      <c r="Z780" s="276"/>
      <c r="AB780" s="278" t="str">
        <f t="shared" si="113"/>
        <v/>
      </c>
    </row>
    <row r="781" spans="1:28" s="277" customFormat="1" ht="20.25">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11"/>
        <v/>
      </c>
      <c r="T781" s="225" t="str">
        <f ca="1">IF(B781="","",IF(ISERROR(MATCH($J781,SorP!$B$1:$B$6230,0)),"",INDIRECT("'SorP'!$A$"&amp;MATCH($J781,SorP!$B$1:$B$6230,0))))</f>
        <v/>
      </c>
      <c r="U781" s="241"/>
      <c r="V781" s="275" t="e">
        <f>IF(C781="",NA(),MATCH($B781&amp;$C781,'Smelter Look-up'!$J:$J,0))</f>
        <v>#N/A</v>
      </c>
      <c r="W781" s="276"/>
      <c r="X781" s="276">
        <f t="shared" ca="1" si="112"/>
        <v>0</v>
      </c>
      <c r="Y781" s="276"/>
      <c r="Z781" s="276"/>
      <c r="AB781" s="278" t="str">
        <f t="shared" si="113"/>
        <v/>
      </c>
    </row>
    <row r="782" spans="1:28" s="277" customFormat="1" ht="20.25">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11"/>
        <v/>
      </c>
      <c r="T782" s="225" t="str">
        <f ca="1">IF(B782="","",IF(ISERROR(MATCH($J782,SorP!$B$1:$B$6230,0)),"",INDIRECT("'SorP'!$A$"&amp;MATCH($J782,SorP!$B$1:$B$6230,0))))</f>
        <v/>
      </c>
      <c r="U782" s="241"/>
      <c r="V782" s="275" t="e">
        <f>IF(C782="",NA(),MATCH($B782&amp;$C782,'Smelter Look-up'!$J:$J,0))</f>
        <v>#N/A</v>
      </c>
      <c r="W782" s="276"/>
      <c r="X782" s="276">
        <f t="shared" ca="1" si="112"/>
        <v>0</v>
      </c>
      <c r="Y782" s="276"/>
      <c r="Z782" s="276"/>
      <c r="AB782" s="278" t="str">
        <f t="shared" si="113"/>
        <v/>
      </c>
    </row>
    <row r="783" spans="1:28" s="277" customFormat="1" ht="20.25">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11"/>
        <v/>
      </c>
      <c r="T783" s="225" t="str">
        <f ca="1">IF(B783="","",IF(ISERROR(MATCH($J783,SorP!$B$1:$B$6230,0)),"",INDIRECT("'SorP'!$A$"&amp;MATCH($J783,SorP!$B$1:$B$6230,0))))</f>
        <v/>
      </c>
      <c r="U783" s="241"/>
      <c r="V783" s="275" t="e">
        <f>IF(C783="",NA(),MATCH($B783&amp;$C783,'Smelter Look-up'!$J:$J,0))</f>
        <v>#N/A</v>
      </c>
      <c r="W783" s="276"/>
      <c r="X783" s="276">
        <f t="shared" ca="1" si="112"/>
        <v>0</v>
      </c>
      <c r="Y783" s="276"/>
      <c r="Z783" s="276"/>
      <c r="AB783" s="278" t="str">
        <f t="shared" si="113"/>
        <v/>
      </c>
    </row>
    <row r="784" spans="1:28" s="277" customFormat="1" ht="20.25">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ca="1" si="111"/>
        <v/>
      </c>
      <c r="T784" s="225" t="str">
        <f ca="1">IF(B784="","",IF(ISERROR(MATCH($J784,SorP!$B$1:$B$6230,0)),"",INDIRECT("'SorP'!$A$"&amp;MATCH($J784,SorP!$B$1:$B$6230,0))))</f>
        <v/>
      </c>
      <c r="U784" s="241"/>
      <c r="V784" s="275" t="e">
        <f>IF(C784="",NA(),MATCH($B784&amp;$C784,'Smelter Look-up'!$J:$J,0))</f>
        <v>#N/A</v>
      </c>
      <c r="W784" s="276"/>
      <c r="X784" s="276">
        <f t="shared" ca="1" si="112"/>
        <v>0</v>
      </c>
      <c r="Y784" s="276"/>
      <c r="Z784" s="276"/>
      <c r="AB784" s="278" t="str">
        <f t="shared" si="113"/>
        <v/>
      </c>
    </row>
    <row r="785" spans="1:28" s="277" customFormat="1" ht="20.25">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11"/>
        <v/>
      </c>
      <c r="T785" s="225" t="str">
        <f ca="1">IF(B785="","",IF(ISERROR(MATCH($J785,SorP!$B$1:$B$6230,0)),"",INDIRECT("'SorP'!$A$"&amp;MATCH($J785,SorP!$B$1:$B$6230,0))))</f>
        <v/>
      </c>
      <c r="U785" s="241"/>
      <c r="V785" s="275" t="e">
        <f>IF(C785="",NA(),MATCH($B785&amp;$C785,'Smelter Look-up'!$J:$J,0))</f>
        <v>#N/A</v>
      </c>
      <c r="W785" s="276"/>
      <c r="X785" s="276">
        <f t="shared" ca="1" si="112"/>
        <v>0</v>
      </c>
      <c r="Y785" s="276"/>
      <c r="Z785" s="276"/>
      <c r="AB785" s="278" t="str">
        <f t="shared" si="113"/>
        <v/>
      </c>
    </row>
    <row r="786" spans="1:28" s="277" customFormat="1" ht="20.25">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ca="1" si="111"/>
        <v/>
      </c>
      <c r="T786" s="225" t="str">
        <f ca="1">IF(B786="","",IF(ISERROR(MATCH($J786,SorP!$B$1:$B$6230,0)),"",INDIRECT("'SorP'!$A$"&amp;MATCH($J786,SorP!$B$1:$B$6230,0))))</f>
        <v/>
      </c>
      <c r="U786" s="241"/>
      <c r="V786" s="275" t="e">
        <f>IF(C786="",NA(),MATCH($B786&amp;$C786,'Smelter Look-up'!$J:$J,0))</f>
        <v>#N/A</v>
      </c>
      <c r="W786" s="276"/>
      <c r="X786" s="276">
        <f t="shared" ca="1" si="112"/>
        <v>0</v>
      </c>
      <c r="Y786" s="276"/>
      <c r="Z786" s="276"/>
      <c r="AB786" s="278" t="str">
        <f t="shared" si="113"/>
        <v/>
      </c>
    </row>
    <row r="787" spans="1:28" s="277" customFormat="1" ht="20.25">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11"/>
        <v/>
      </c>
      <c r="T787" s="225" t="str">
        <f ca="1">IF(B787="","",IF(ISERROR(MATCH($J787,SorP!$B$1:$B$6230,0)),"",INDIRECT("'SorP'!$A$"&amp;MATCH($J787,SorP!$B$1:$B$6230,0))))</f>
        <v/>
      </c>
      <c r="U787" s="241"/>
      <c r="V787" s="275" t="e">
        <f>IF(C787="",NA(),MATCH($B787&amp;$C787,'Smelter Look-up'!$J:$J,0))</f>
        <v>#N/A</v>
      </c>
      <c r="W787" s="276"/>
      <c r="X787" s="276">
        <f t="shared" ca="1" si="112"/>
        <v>0</v>
      </c>
      <c r="Y787" s="276"/>
      <c r="Z787" s="276"/>
      <c r="AB787" s="278" t="str">
        <f t="shared" si="113"/>
        <v/>
      </c>
    </row>
    <row r="788" spans="1:28" s="277" customFormat="1" ht="20.25">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11"/>
        <v/>
      </c>
      <c r="T788" s="225" t="str">
        <f ca="1">IF(B788="","",IF(ISERROR(MATCH($J788,SorP!$B$1:$B$6230,0)),"",INDIRECT("'SorP'!$A$"&amp;MATCH($J788,SorP!$B$1:$B$6230,0))))</f>
        <v/>
      </c>
      <c r="U788" s="241"/>
      <c r="V788" s="275" t="e">
        <f>IF(C788="",NA(),MATCH($B788&amp;$C788,'Smelter Look-up'!$J:$J,0))</f>
        <v>#N/A</v>
      </c>
      <c r="W788" s="276"/>
      <c r="X788" s="276">
        <f t="shared" ca="1" si="112"/>
        <v>0</v>
      </c>
      <c r="Y788" s="276"/>
      <c r="Z788" s="276"/>
      <c r="AB788" s="278" t="str">
        <f t="shared" si="113"/>
        <v/>
      </c>
    </row>
    <row r="789" spans="1:28" s="277" customFormat="1" ht="20.25">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11"/>
        <v/>
      </c>
      <c r="T789" s="225" t="str">
        <f ca="1">IF(B789="","",IF(ISERROR(MATCH($J789,SorP!$B$1:$B$6230,0)),"",INDIRECT("'SorP'!$A$"&amp;MATCH($J789,SorP!$B$1:$B$6230,0))))</f>
        <v/>
      </c>
      <c r="U789" s="241"/>
      <c r="V789" s="275" t="e">
        <f>IF(C789="",NA(),MATCH($B789&amp;$C789,'Smelter Look-up'!$J:$J,0))</f>
        <v>#N/A</v>
      </c>
      <c r="W789" s="276"/>
      <c r="X789" s="276">
        <f t="shared" ca="1" si="112"/>
        <v>0</v>
      </c>
      <c r="Y789" s="276"/>
      <c r="Z789" s="276"/>
      <c r="AB789" s="278" t="str">
        <f t="shared" si="113"/>
        <v/>
      </c>
    </row>
    <row r="790" spans="1:28" s="277" customFormat="1" ht="20.25">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11"/>
        <v/>
      </c>
      <c r="T790" s="225" t="str">
        <f ca="1">IF(B790="","",IF(ISERROR(MATCH($J790,SorP!$B$1:$B$6230,0)),"",INDIRECT("'SorP'!$A$"&amp;MATCH($J790,SorP!$B$1:$B$6230,0))))</f>
        <v/>
      </c>
      <c r="U790" s="241"/>
      <c r="V790" s="275" t="e">
        <f>IF(C790="",NA(),MATCH($B790&amp;$C790,'Smelter Look-up'!$J:$J,0))</f>
        <v>#N/A</v>
      </c>
      <c r="W790" s="276"/>
      <c r="X790" s="276">
        <f t="shared" ca="1" si="112"/>
        <v>0</v>
      </c>
      <c r="Y790" s="276"/>
      <c r="Z790" s="276"/>
      <c r="AB790" s="278" t="str">
        <f t="shared" si="113"/>
        <v/>
      </c>
    </row>
    <row r="791" spans="1:28" s="277" customFormat="1" ht="20.25">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11"/>
        <v/>
      </c>
      <c r="T791" s="225" t="str">
        <f ca="1">IF(B791="","",IF(ISERROR(MATCH($J791,SorP!$B$1:$B$6230,0)),"",INDIRECT("'SorP'!$A$"&amp;MATCH($J791,SorP!$B$1:$B$6230,0))))</f>
        <v/>
      </c>
      <c r="U791" s="241"/>
      <c r="V791" s="275" t="e">
        <f>IF(C791="",NA(),MATCH($B791&amp;$C791,'Smelter Look-up'!$J:$J,0))</f>
        <v>#N/A</v>
      </c>
      <c r="W791" s="276"/>
      <c r="X791" s="276">
        <f t="shared" ca="1" si="112"/>
        <v>0</v>
      </c>
      <c r="Y791" s="276"/>
      <c r="Z791" s="276"/>
      <c r="AB791" s="278" t="str">
        <f t="shared" si="113"/>
        <v/>
      </c>
    </row>
    <row r="792" spans="1:28" s="277" customFormat="1" ht="20.25">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11"/>
        <v/>
      </c>
      <c r="T792" s="225" t="str">
        <f ca="1">IF(B792="","",IF(ISERROR(MATCH($J792,SorP!$B$1:$B$6230,0)),"",INDIRECT("'SorP'!$A$"&amp;MATCH($J792,SorP!$B$1:$B$6230,0))))</f>
        <v/>
      </c>
      <c r="U792" s="241"/>
      <c r="V792" s="275" t="e">
        <f>IF(C792="",NA(),MATCH($B792&amp;$C792,'Smelter Look-up'!$J:$J,0))</f>
        <v>#N/A</v>
      </c>
      <c r="W792" s="276"/>
      <c r="X792" s="276">
        <f t="shared" ca="1" si="112"/>
        <v>0</v>
      </c>
      <c r="Y792" s="276"/>
      <c r="Z792" s="276"/>
      <c r="AB792" s="278" t="str">
        <f t="shared" si="113"/>
        <v/>
      </c>
    </row>
    <row r="793" spans="1:28" s="277" customFormat="1" ht="20.25">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11"/>
        <v/>
      </c>
      <c r="T793" s="225" t="str">
        <f ca="1">IF(B793="","",IF(ISERROR(MATCH($J793,SorP!$B$1:$B$6230,0)),"",INDIRECT("'SorP'!$A$"&amp;MATCH($J793,SorP!$B$1:$B$6230,0))))</f>
        <v/>
      </c>
      <c r="U793" s="241"/>
      <c r="V793" s="275" t="e">
        <f>IF(C793="",NA(),MATCH($B793&amp;$C793,'Smelter Look-up'!$J:$J,0))</f>
        <v>#N/A</v>
      </c>
      <c r="W793" s="276"/>
      <c r="X793" s="276">
        <f t="shared" ca="1" si="112"/>
        <v>0</v>
      </c>
      <c r="Y793" s="276"/>
      <c r="Z793" s="276"/>
      <c r="AB793" s="278" t="str">
        <f t="shared" si="113"/>
        <v/>
      </c>
    </row>
    <row r="794" spans="1:28" s="277" customFormat="1" ht="20.25">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11"/>
        <v/>
      </c>
      <c r="T794" s="225" t="str">
        <f ca="1">IF(B794="","",IF(ISERROR(MATCH($J794,SorP!$B$1:$B$6230,0)),"",INDIRECT("'SorP'!$A$"&amp;MATCH($J794,SorP!$B$1:$B$6230,0))))</f>
        <v/>
      </c>
      <c r="U794" s="241"/>
      <c r="V794" s="275" t="e">
        <f>IF(C794="",NA(),MATCH($B794&amp;$C794,'Smelter Look-up'!$J:$J,0))</f>
        <v>#N/A</v>
      </c>
      <c r="W794" s="276"/>
      <c r="X794" s="276">
        <f t="shared" ca="1" si="112"/>
        <v>0</v>
      </c>
      <c r="Y794" s="276"/>
      <c r="Z794" s="276"/>
      <c r="AB794" s="278" t="str">
        <f t="shared" si="113"/>
        <v/>
      </c>
    </row>
    <row r="795" spans="1:28" s="277" customFormat="1" ht="20.25">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ca="1" si="111"/>
        <v/>
      </c>
      <c r="T795" s="225" t="str">
        <f ca="1">IF(B795="","",IF(ISERROR(MATCH($J795,SorP!$B$1:$B$6230,0)),"",INDIRECT("'SorP'!$A$"&amp;MATCH($J795,SorP!$B$1:$B$6230,0))))</f>
        <v/>
      </c>
      <c r="U795" s="241"/>
      <c r="V795" s="275" t="e">
        <f>IF(C795="",NA(),MATCH($B795&amp;$C795,'Smelter Look-up'!$J:$J,0))</f>
        <v>#N/A</v>
      </c>
      <c r="W795" s="276"/>
      <c r="X795" s="276">
        <f t="shared" ca="1" si="112"/>
        <v>0</v>
      </c>
      <c r="Y795" s="276"/>
      <c r="Z795" s="276"/>
      <c r="AB795" s="278" t="str">
        <f t="shared" si="113"/>
        <v/>
      </c>
    </row>
    <row r="796" spans="1:28" s="277" customFormat="1" ht="20.25">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ref="S796:S826" ca="1" si="114">IF(B796="","",IF(ISERROR(MATCH($E796,CL,0)),"Unknown",INDIRECT("'C'!$A$"&amp;MATCH($E796,CL,0)+1)))</f>
        <v/>
      </c>
      <c r="T796" s="225" t="str">
        <f ca="1">IF(B796="","",IF(ISERROR(MATCH($J796,SorP!$B$1:$B$6230,0)),"",INDIRECT("'SorP'!$A$"&amp;MATCH($J796,SorP!$B$1:$B$6230,0))))</f>
        <v/>
      </c>
      <c r="U796" s="241"/>
      <c r="V796" s="275" t="e">
        <f>IF(C796="",NA(),MATCH($B796&amp;$C796,'Smelter Look-up'!$J:$J,0))</f>
        <v>#N/A</v>
      </c>
      <c r="W796" s="276"/>
      <c r="X796" s="276">
        <f t="shared" ref="X796:X826" ca="1" si="115">IF(AND(C796="Smelter not listed",OR(LEN(D796)=0,LEN(E796)=0)),1,0)</f>
        <v>0</v>
      </c>
      <c r="Y796" s="276"/>
      <c r="Z796" s="276"/>
      <c r="AB796" s="278" t="str">
        <f t="shared" ref="AB796:AB826" si="116">B796&amp;C796</f>
        <v/>
      </c>
    </row>
    <row r="797" spans="1:28" s="277" customFormat="1" ht="20.25">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14"/>
        <v/>
      </c>
      <c r="T797" s="225" t="str">
        <f ca="1">IF(B797="","",IF(ISERROR(MATCH($J797,SorP!$B$1:$B$6230,0)),"",INDIRECT("'SorP'!$A$"&amp;MATCH($J797,SorP!$B$1:$B$6230,0))))</f>
        <v/>
      </c>
      <c r="U797" s="241"/>
      <c r="V797" s="275" t="e">
        <f>IF(C797="",NA(),MATCH($B797&amp;$C797,'Smelter Look-up'!$J:$J,0))</f>
        <v>#N/A</v>
      </c>
      <c r="W797" s="276"/>
      <c r="X797" s="276">
        <f t="shared" ca="1" si="115"/>
        <v>0</v>
      </c>
      <c r="Y797" s="276"/>
      <c r="Z797" s="276"/>
      <c r="AB797" s="278" t="str">
        <f t="shared" si="116"/>
        <v/>
      </c>
    </row>
    <row r="798" spans="1:28" s="277" customFormat="1" ht="20.25">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14"/>
        <v/>
      </c>
      <c r="T798" s="225" t="str">
        <f ca="1">IF(B798="","",IF(ISERROR(MATCH($J798,SorP!$B$1:$B$6230,0)),"",INDIRECT("'SorP'!$A$"&amp;MATCH($J798,SorP!$B$1:$B$6230,0))))</f>
        <v/>
      </c>
      <c r="U798" s="241"/>
      <c r="V798" s="275" t="e">
        <f>IF(C798="",NA(),MATCH($B798&amp;$C798,'Smelter Look-up'!$J:$J,0))</f>
        <v>#N/A</v>
      </c>
      <c r="W798" s="276"/>
      <c r="X798" s="276">
        <f t="shared" ca="1" si="115"/>
        <v>0</v>
      </c>
      <c r="Y798" s="276"/>
      <c r="Z798" s="276"/>
      <c r="AB798" s="278" t="str">
        <f t="shared" si="116"/>
        <v/>
      </c>
    </row>
    <row r="799" spans="1:28" s="277" customFormat="1" ht="20.25">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14"/>
        <v/>
      </c>
      <c r="T799" s="225" t="str">
        <f ca="1">IF(B799="","",IF(ISERROR(MATCH($J799,SorP!$B$1:$B$6230,0)),"",INDIRECT("'SorP'!$A$"&amp;MATCH($J799,SorP!$B$1:$B$6230,0))))</f>
        <v/>
      </c>
      <c r="U799" s="241"/>
      <c r="V799" s="275" t="e">
        <f>IF(C799="",NA(),MATCH($B799&amp;$C799,'Smelter Look-up'!$J:$J,0))</f>
        <v>#N/A</v>
      </c>
      <c r="W799" s="276"/>
      <c r="X799" s="276">
        <f t="shared" ca="1" si="115"/>
        <v>0</v>
      </c>
      <c r="Y799" s="276"/>
      <c r="Z799" s="276"/>
      <c r="AB799" s="278" t="str">
        <f t="shared" si="116"/>
        <v/>
      </c>
    </row>
    <row r="800" spans="1:28" s="277" customFormat="1" ht="20.25">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14"/>
        <v/>
      </c>
      <c r="T800" s="225" t="str">
        <f ca="1">IF(B800="","",IF(ISERROR(MATCH($J800,SorP!$B$1:$B$6230,0)),"",INDIRECT("'SorP'!$A$"&amp;MATCH($J800,SorP!$B$1:$B$6230,0))))</f>
        <v/>
      </c>
      <c r="U800" s="241"/>
      <c r="V800" s="275" t="e">
        <f>IF(C800="",NA(),MATCH($B800&amp;$C800,'Smelter Look-up'!$J:$J,0))</f>
        <v>#N/A</v>
      </c>
      <c r="W800" s="276"/>
      <c r="X800" s="276">
        <f t="shared" ca="1" si="115"/>
        <v>0</v>
      </c>
      <c r="Y800" s="276"/>
      <c r="Z800" s="276"/>
      <c r="AB800" s="278" t="str">
        <f t="shared" si="116"/>
        <v/>
      </c>
    </row>
    <row r="801" spans="1:28" s="277" customFormat="1" ht="20.25">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14"/>
        <v/>
      </c>
      <c r="T801" s="225" t="str">
        <f ca="1">IF(B801="","",IF(ISERROR(MATCH($J801,SorP!$B$1:$B$6230,0)),"",INDIRECT("'SorP'!$A$"&amp;MATCH($J801,SorP!$B$1:$B$6230,0))))</f>
        <v/>
      </c>
      <c r="U801" s="241"/>
      <c r="V801" s="275" t="e">
        <f>IF(C801="",NA(),MATCH($B801&amp;$C801,'Smelter Look-up'!$J:$J,0))</f>
        <v>#N/A</v>
      </c>
      <c r="W801" s="276"/>
      <c r="X801" s="276">
        <f t="shared" ca="1" si="115"/>
        <v>0</v>
      </c>
      <c r="Y801" s="276"/>
      <c r="Z801" s="276"/>
      <c r="AB801" s="278" t="str">
        <f t="shared" si="116"/>
        <v/>
      </c>
    </row>
    <row r="802" spans="1:28" s="277" customFormat="1" ht="20.25">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14"/>
        <v/>
      </c>
      <c r="T802" s="225" t="str">
        <f ca="1">IF(B802="","",IF(ISERROR(MATCH($J802,SorP!$B$1:$B$6230,0)),"",INDIRECT("'SorP'!$A$"&amp;MATCH($J802,SorP!$B$1:$B$6230,0))))</f>
        <v/>
      </c>
      <c r="U802" s="241"/>
      <c r="V802" s="275" t="e">
        <f>IF(C802="",NA(),MATCH($B802&amp;$C802,'Smelter Look-up'!$J:$J,0))</f>
        <v>#N/A</v>
      </c>
      <c r="W802" s="276"/>
      <c r="X802" s="276">
        <f t="shared" ca="1" si="115"/>
        <v>0</v>
      </c>
      <c r="Y802" s="276"/>
      <c r="Z802" s="276"/>
      <c r="AB802" s="278" t="str">
        <f t="shared" si="116"/>
        <v/>
      </c>
    </row>
    <row r="803" spans="1:28" s="277" customFormat="1" ht="20.25">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14"/>
        <v/>
      </c>
      <c r="T803" s="225" t="str">
        <f ca="1">IF(B803="","",IF(ISERROR(MATCH($J803,SorP!$B$1:$B$6230,0)),"",INDIRECT("'SorP'!$A$"&amp;MATCH($J803,SorP!$B$1:$B$6230,0))))</f>
        <v/>
      </c>
      <c r="U803" s="241"/>
      <c r="V803" s="275" t="e">
        <f>IF(C803="",NA(),MATCH($B803&amp;$C803,'Smelter Look-up'!$J:$J,0))</f>
        <v>#N/A</v>
      </c>
      <c r="W803" s="276"/>
      <c r="X803" s="276">
        <f t="shared" ca="1" si="115"/>
        <v>0</v>
      </c>
      <c r="Y803" s="276"/>
      <c r="Z803" s="276"/>
      <c r="AB803" s="278" t="str">
        <f t="shared" si="116"/>
        <v/>
      </c>
    </row>
    <row r="804" spans="1:28" s="277" customFormat="1" ht="20.25">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14"/>
        <v/>
      </c>
      <c r="T804" s="225" t="str">
        <f ca="1">IF(B804="","",IF(ISERROR(MATCH($J804,SorP!$B$1:$B$6230,0)),"",INDIRECT("'SorP'!$A$"&amp;MATCH($J804,SorP!$B$1:$B$6230,0))))</f>
        <v/>
      </c>
      <c r="U804" s="241"/>
      <c r="V804" s="275" t="e">
        <f>IF(C804="",NA(),MATCH($B804&amp;$C804,'Smelter Look-up'!$J:$J,0))</f>
        <v>#N/A</v>
      </c>
      <c r="W804" s="276"/>
      <c r="X804" s="276">
        <f t="shared" ca="1" si="115"/>
        <v>0</v>
      </c>
      <c r="Y804" s="276"/>
      <c r="Z804" s="276"/>
      <c r="AB804" s="278" t="str">
        <f t="shared" si="116"/>
        <v/>
      </c>
    </row>
    <row r="805" spans="1:28" s="277" customFormat="1" ht="20.25">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14"/>
        <v/>
      </c>
      <c r="T805" s="225" t="str">
        <f ca="1">IF(B805="","",IF(ISERROR(MATCH($J805,SorP!$B$1:$B$6230,0)),"",INDIRECT("'SorP'!$A$"&amp;MATCH($J805,SorP!$B$1:$B$6230,0))))</f>
        <v/>
      </c>
      <c r="U805" s="241"/>
      <c r="V805" s="275" t="e">
        <f>IF(C805="",NA(),MATCH($B805&amp;$C805,'Smelter Look-up'!$J:$J,0))</f>
        <v>#N/A</v>
      </c>
      <c r="W805" s="276"/>
      <c r="X805" s="276">
        <f t="shared" ca="1" si="115"/>
        <v>0</v>
      </c>
      <c r="Y805" s="276"/>
      <c r="Z805" s="276"/>
      <c r="AB805" s="278" t="str">
        <f t="shared" si="116"/>
        <v/>
      </c>
    </row>
    <row r="806" spans="1:28" s="277" customFormat="1" ht="20.25">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14"/>
        <v/>
      </c>
      <c r="T806" s="225" t="str">
        <f ca="1">IF(B806="","",IF(ISERROR(MATCH($J806,SorP!$B$1:$B$6230,0)),"",INDIRECT("'SorP'!$A$"&amp;MATCH($J806,SorP!$B$1:$B$6230,0))))</f>
        <v/>
      </c>
      <c r="U806" s="241"/>
      <c r="V806" s="275" t="e">
        <f>IF(C806="",NA(),MATCH($B806&amp;$C806,'Smelter Look-up'!$J:$J,0))</f>
        <v>#N/A</v>
      </c>
      <c r="W806" s="276"/>
      <c r="X806" s="276">
        <f t="shared" ca="1" si="115"/>
        <v>0</v>
      </c>
      <c r="Y806" s="276"/>
      <c r="Z806" s="276"/>
      <c r="AB806" s="278" t="str">
        <f t="shared" si="116"/>
        <v/>
      </c>
    </row>
    <row r="807" spans="1:28" s="277" customFormat="1" ht="20.25">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14"/>
        <v/>
      </c>
      <c r="T807" s="225" t="str">
        <f ca="1">IF(B807="","",IF(ISERROR(MATCH($J807,SorP!$B$1:$B$6230,0)),"",INDIRECT("'SorP'!$A$"&amp;MATCH($J807,SorP!$B$1:$B$6230,0))))</f>
        <v/>
      </c>
      <c r="U807" s="241"/>
      <c r="V807" s="275" t="e">
        <f>IF(C807="",NA(),MATCH($B807&amp;$C807,'Smelter Look-up'!$J:$J,0))</f>
        <v>#N/A</v>
      </c>
      <c r="W807" s="276"/>
      <c r="X807" s="276">
        <f t="shared" ca="1" si="115"/>
        <v>0</v>
      </c>
      <c r="Y807" s="276"/>
      <c r="Z807" s="276"/>
      <c r="AB807" s="278" t="str">
        <f t="shared" si="116"/>
        <v/>
      </c>
    </row>
    <row r="808" spans="1:28" s="277" customFormat="1" ht="20.25">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14"/>
        <v/>
      </c>
      <c r="T808" s="225" t="str">
        <f ca="1">IF(B808="","",IF(ISERROR(MATCH($J808,SorP!$B$1:$B$6230,0)),"",INDIRECT("'SorP'!$A$"&amp;MATCH($J808,SorP!$B$1:$B$6230,0))))</f>
        <v/>
      </c>
      <c r="U808" s="241"/>
      <c r="V808" s="275" t="e">
        <f>IF(C808="",NA(),MATCH($B808&amp;$C808,'Smelter Look-up'!$J:$J,0))</f>
        <v>#N/A</v>
      </c>
      <c r="W808" s="276"/>
      <c r="X808" s="276">
        <f t="shared" ca="1" si="115"/>
        <v>0</v>
      </c>
      <c r="Y808" s="276"/>
      <c r="Z808" s="276"/>
      <c r="AB808" s="278" t="str">
        <f t="shared" si="116"/>
        <v/>
      </c>
    </row>
    <row r="809" spans="1:28" s="277" customFormat="1" ht="20.25">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14"/>
        <v/>
      </c>
      <c r="T809" s="225" t="str">
        <f ca="1">IF(B809="","",IF(ISERROR(MATCH($J809,SorP!$B$1:$B$6230,0)),"",INDIRECT("'SorP'!$A$"&amp;MATCH($J809,SorP!$B$1:$B$6230,0))))</f>
        <v/>
      </c>
      <c r="U809" s="241"/>
      <c r="V809" s="275" t="e">
        <f>IF(C809="",NA(),MATCH($B809&amp;$C809,'Smelter Look-up'!$J:$J,0))</f>
        <v>#N/A</v>
      </c>
      <c r="W809" s="276"/>
      <c r="X809" s="276">
        <f t="shared" ca="1" si="115"/>
        <v>0</v>
      </c>
      <c r="Y809" s="276"/>
      <c r="Z809" s="276"/>
      <c r="AB809" s="278" t="str">
        <f t="shared" si="116"/>
        <v/>
      </c>
    </row>
    <row r="810" spans="1:28" s="277" customFormat="1" ht="20.25">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14"/>
        <v/>
      </c>
      <c r="T810" s="225" t="str">
        <f ca="1">IF(B810="","",IF(ISERROR(MATCH($J810,SorP!$B$1:$B$6230,0)),"",INDIRECT("'SorP'!$A$"&amp;MATCH($J810,SorP!$B$1:$B$6230,0))))</f>
        <v/>
      </c>
      <c r="U810" s="241"/>
      <c r="V810" s="275" t="e">
        <f>IF(C810="",NA(),MATCH($B810&amp;$C810,'Smelter Look-up'!$J:$J,0))</f>
        <v>#N/A</v>
      </c>
      <c r="W810" s="276"/>
      <c r="X810" s="276">
        <f t="shared" ca="1" si="115"/>
        <v>0</v>
      </c>
      <c r="Y810" s="276"/>
      <c r="Z810" s="276"/>
      <c r="AB810" s="278" t="str">
        <f t="shared" si="116"/>
        <v/>
      </c>
    </row>
    <row r="811" spans="1:28" s="277" customFormat="1" ht="20.25">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14"/>
        <v/>
      </c>
      <c r="T811" s="225" t="str">
        <f ca="1">IF(B811="","",IF(ISERROR(MATCH($J811,SorP!$B$1:$B$6230,0)),"",INDIRECT("'SorP'!$A$"&amp;MATCH($J811,SorP!$B$1:$B$6230,0))))</f>
        <v/>
      </c>
      <c r="U811" s="241"/>
      <c r="V811" s="275" t="e">
        <f>IF(C811="",NA(),MATCH($B811&amp;$C811,'Smelter Look-up'!$J:$J,0))</f>
        <v>#N/A</v>
      </c>
      <c r="W811" s="276"/>
      <c r="X811" s="276">
        <f t="shared" ca="1" si="115"/>
        <v>0</v>
      </c>
      <c r="Y811" s="276"/>
      <c r="Z811" s="276"/>
      <c r="AB811" s="278" t="str">
        <f t="shared" si="116"/>
        <v/>
      </c>
    </row>
    <row r="812" spans="1:28" s="277" customFormat="1" ht="20.25">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14"/>
        <v/>
      </c>
      <c r="T812" s="225" t="str">
        <f ca="1">IF(B812="","",IF(ISERROR(MATCH($J812,SorP!$B$1:$B$6230,0)),"",INDIRECT("'SorP'!$A$"&amp;MATCH($J812,SorP!$B$1:$B$6230,0))))</f>
        <v/>
      </c>
      <c r="U812" s="241"/>
      <c r="V812" s="275" t="e">
        <f>IF(C812="",NA(),MATCH($B812&amp;$C812,'Smelter Look-up'!$J:$J,0))</f>
        <v>#N/A</v>
      </c>
      <c r="W812" s="276"/>
      <c r="X812" s="276">
        <f t="shared" ca="1" si="115"/>
        <v>0</v>
      </c>
      <c r="Y812" s="276"/>
      <c r="Z812" s="276"/>
      <c r="AB812" s="278" t="str">
        <f t="shared" si="116"/>
        <v/>
      </c>
    </row>
    <row r="813" spans="1:28" s="277" customFormat="1" ht="20.25">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14"/>
        <v/>
      </c>
      <c r="T813" s="225" t="str">
        <f ca="1">IF(B813="","",IF(ISERROR(MATCH($J813,SorP!$B$1:$B$6230,0)),"",INDIRECT("'SorP'!$A$"&amp;MATCH($J813,SorP!$B$1:$B$6230,0))))</f>
        <v/>
      </c>
      <c r="U813" s="241"/>
      <c r="V813" s="275" t="e">
        <f>IF(C813="",NA(),MATCH($B813&amp;$C813,'Smelter Look-up'!$J:$J,0))</f>
        <v>#N/A</v>
      </c>
      <c r="W813" s="276"/>
      <c r="X813" s="276">
        <f t="shared" ca="1" si="115"/>
        <v>0</v>
      </c>
      <c r="Y813" s="276"/>
      <c r="Z813" s="276"/>
      <c r="AB813" s="278" t="str">
        <f t="shared" si="116"/>
        <v/>
      </c>
    </row>
    <row r="814" spans="1:28" s="277" customFormat="1" ht="20.25">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14"/>
        <v/>
      </c>
      <c r="T814" s="225" t="str">
        <f ca="1">IF(B814="","",IF(ISERROR(MATCH($J814,SorP!$B$1:$B$6230,0)),"",INDIRECT("'SorP'!$A$"&amp;MATCH($J814,SorP!$B$1:$B$6230,0))))</f>
        <v/>
      </c>
      <c r="U814" s="241"/>
      <c r="V814" s="275" t="e">
        <f>IF(C814="",NA(),MATCH($B814&amp;$C814,'Smelter Look-up'!$J:$J,0))</f>
        <v>#N/A</v>
      </c>
      <c r="W814" s="276"/>
      <c r="X814" s="276">
        <f t="shared" ca="1" si="115"/>
        <v>0</v>
      </c>
      <c r="Y814" s="276"/>
      <c r="Z814" s="276"/>
      <c r="AB814" s="278" t="str">
        <f t="shared" si="116"/>
        <v/>
      </c>
    </row>
    <row r="815" spans="1:28" s="277" customFormat="1" ht="20.25">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ca="1" si="114"/>
        <v/>
      </c>
      <c r="T815" s="225" t="str">
        <f ca="1">IF(B815="","",IF(ISERROR(MATCH($J815,SorP!$B$1:$B$6230,0)),"",INDIRECT("'SorP'!$A$"&amp;MATCH($J815,SorP!$B$1:$B$6230,0))))</f>
        <v/>
      </c>
      <c r="U815" s="241"/>
      <c r="V815" s="275" t="e">
        <f>IF(C815="",NA(),MATCH($B815&amp;$C815,'Smelter Look-up'!$J:$J,0))</f>
        <v>#N/A</v>
      </c>
      <c r="W815" s="276"/>
      <c r="X815" s="276">
        <f t="shared" ca="1" si="115"/>
        <v>0</v>
      </c>
      <c r="Y815" s="276"/>
      <c r="Z815" s="276"/>
      <c r="AB815" s="278" t="str">
        <f t="shared" si="116"/>
        <v/>
      </c>
    </row>
    <row r="816" spans="1:28" s="277" customFormat="1" ht="20.25">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ca="1" si="114"/>
        <v/>
      </c>
      <c r="T816" s="225" t="str">
        <f ca="1">IF(B816="","",IF(ISERROR(MATCH($J816,SorP!$B$1:$B$6230,0)),"",INDIRECT("'SorP'!$A$"&amp;MATCH($J816,SorP!$B$1:$B$6230,0))))</f>
        <v/>
      </c>
      <c r="U816" s="241"/>
      <c r="V816" s="275" t="e">
        <f>IF(C816="",NA(),MATCH($B816&amp;$C816,'Smelter Look-up'!$J:$J,0))</f>
        <v>#N/A</v>
      </c>
      <c r="W816" s="276"/>
      <c r="X816" s="276">
        <f t="shared" ca="1" si="115"/>
        <v>0</v>
      </c>
      <c r="Y816" s="276"/>
      <c r="Z816" s="276"/>
      <c r="AB816" s="278" t="str">
        <f t="shared" si="116"/>
        <v/>
      </c>
    </row>
    <row r="817" spans="1:28" s="277" customFormat="1" ht="20.25">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ca="1" si="114"/>
        <v/>
      </c>
      <c r="T817" s="225" t="str">
        <f ca="1">IF(B817="","",IF(ISERROR(MATCH($J817,SorP!$B$1:$B$6230,0)),"",INDIRECT("'SorP'!$A$"&amp;MATCH($J817,SorP!$B$1:$B$6230,0))))</f>
        <v/>
      </c>
      <c r="U817" s="241"/>
      <c r="V817" s="275" t="e">
        <f>IF(C817="",NA(),MATCH($B817&amp;$C817,'Smelter Look-up'!$J:$J,0))</f>
        <v>#N/A</v>
      </c>
      <c r="W817" s="276"/>
      <c r="X817" s="276">
        <f t="shared" ca="1" si="115"/>
        <v>0</v>
      </c>
      <c r="Y817" s="276"/>
      <c r="Z817" s="276"/>
      <c r="AB817" s="278" t="str">
        <f t="shared" si="116"/>
        <v/>
      </c>
    </row>
    <row r="818" spans="1:28" s="277" customFormat="1" ht="20.25">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ca="1" si="114"/>
        <v/>
      </c>
      <c r="T818" s="225" t="str">
        <f ca="1">IF(B818="","",IF(ISERROR(MATCH($J818,SorP!$B$1:$B$6230,0)),"",INDIRECT("'SorP'!$A$"&amp;MATCH($J818,SorP!$B$1:$B$6230,0))))</f>
        <v/>
      </c>
      <c r="U818" s="241"/>
      <c r="V818" s="275" t="e">
        <f>IF(C818="",NA(),MATCH($B818&amp;$C818,'Smelter Look-up'!$J:$J,0))</f>
        <v>#N/A</v>
      </c>
      <c r="W818" s="276"/>
      <c r="X818" s="276">
        <f t="shared" ca="1" si="115"/>
        <v>0</v>
      </c>
      <c r="Y818" s="276"/>
      <c r="Z818" s="276"/>
      <c r="AB818" s="278" t="str">
        <f t="shared" si="116"/>
        <v/>
      </c>
    </row>
    <row r="819" spans="1:28" s="277" customFormat="1" ht="20.25">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14"/>
        <v/>
      </c>
      <c r="T819" s="225" t="str">
        <f ca="1">IF(B819="","",IF(ISERROR(MATCH($J819,SorP!$B$1:$B$6230,0)),"",INDIRECT("'SorP'!$A$"&amp;MATCH($J819,SorP!$B$1:$B$6230,0))))</f>
        <v/>
      </c>
      <c r="U819" s="241"/>
      <c r="V819" s="275" t="e">
        <f>IF(C819="",NA(),MATCH($B819&amp;$C819,'Smelter Look-up'!$J:$J,0))</f>
        <v>#N/A</v>
      </c>
      <c r="W819" s="276"/>
      <c r="X819" s="276">
        <f t="shared" ca="1" si="115"/>
        <v>0</v>
      </c>
      <c r="Y819" s="276"/>
      <c r="Z819" s="276"/>
      <c r="AB819" s="278" t="str">
        <f t="shared" si="116"/>
        <v/>
      </c>
    </row>
    <row r="820" spans="1:28" s="277" customFormat="1" ht="20.25">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14"/>
        <v/>
      </c>
      <c r="T820" s="225" t="str">
        <f ca="1">IF(B820="","",IF(ISERROR(MATCH($J820,SorP!$B$1:$B$6230,0)),"",INDIRECT("'SorP'!$A$"&amp;MATCH($J820,SorP!$B$1:$B$6230,0))))</f>
        <v/>
      </c>
      <c r="U820" s="241"/>
      <c r="V820" s="275" t="e">
        <f>IF(C820="",NA(),MATCH($B820&amp;$C820,'Smelter Look-up'!$J:$J,0))</f>
        <v>#N/A</v>
      </c>
      <c r="W820" s="276"/>
      <c r="X820" s="276">
        <f t="shared" ca="1" si="115"/>
        <v>0</v>
      </c>
      <c r="Y820" s="276"/>
      <c r="Z820" s="276"/>
      <c r="AB820" s="278" t="str">
        <f t="shared" si="116"/>
        <v/>
      </c>
    </row>
    <row r="821" spans="1:28" s="277" customFormat="1" ht="20.25">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14"/>
        <v/>
      </c>
      <c r="T821" s="225" t="str">
        <f ca="1">IF(B821="","",IF(ISERROR(MATCH($J821,SorP!$B$1:$B$6230,0)),"",INDIRECT("'SorP'!$A$"&amp;MATCH($J821,SorP!$B$1:$B$6230,0))))</f>
        <v/>
      </c>
      <c r="U821" s="241"/>
      <c r="V821" s="275" t="e">
        <f>IF(C821="",NA(),MATCH($B821&amp;$C821,'Smelter Look-up'!$J:$J,0))</f>
        <v>#N/A</v>
      </c>
      <c r="W821" s="276"/>
      <c r="X821" s="276">
        <f t="shared" ca="1" si="115"/>
        <v>0</v>
      </c>
      <c r="Y821" s="276"/>
      <c r="Z821" s="276"/>
      <c r="AB821" s="278" t="str">
        <f t="shared" si="116"/>
        <v/>
      </c>
    </row>
    <row r="822" spans="1:28" s="277" customFormat="1" ht="20.25">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14"/>
        <v/>
      </c>
      <c r="T822" s="225" t="str">
        <f ca="1">IF(B822="","",IF(ISERROR(MATCH($J822,SorP!$B$1:$B$6230,0)),"",INDIRECT("'SorP'!$A$"&amp;MATCH($J822,SorP!$B$1:$B$6230,0))))</f>
        <v/>
      </c>
      <c r="U822" s="241"/>
      <c r="V822" s="275" t="e">
        <f>IF(C822="",NA(),MATCH($B822&amp;$C822,'Smelter Look-up'!$J:$J,0))</f>
        <v>#N/A</v>
      </c>
      <c r="W822" s="276"/>
      <c r="X822" s="276">
        <f t="shared" ca="1" si="115"/>
        <v>0</v>
      </c>
      <c r="Y822" s="276"/>
      <c r="Z822" s="276"/>
      <c r="AB822" s="278" t="str">
        <f t="shared" si="116"/>
        <v/>
      </c>
    </row>
    <row r="823" spans="1:28" s="277" customFormat="1" ht="20.25">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14"/>
        <v/>
      </c>
      <c r="T823" s="225" t="str">
        <f ca="1">IF(B823="","",IF(ISERROR(MATCH($J823,SorP!$B$1:$B$6230,0)),"",INDIRECT("'SorP'!$A$"&amp;MATCH($J823,SorP!$B$1:$B$6230,0))))</f>
        <v/>
      </c>
      <c r="U823" s="241"/>
      <c r="V823" s="275" t="e">
        <f>IF(C823="",NA(),MATCH($B823&amp;$C823,'Smelter Look-up'!$J:$J,0))</f>
        <v>#N/A</v>
      </c>
      <c r="W823" s="276"/>
      <c r="X823" s="276">
        <f t="shared" ca="1" si="115"/>
        <v>0</v>
      </c>
      <c r="Y823" s="276"/>
      <c r="Z823" s="276"/>
      <c r="AB823" s="278" t="str">
        <f t="shared" si="116"/>
        <v/>
      </c>
    </row>
    <row r="824" spans="1:28" s="277" customFormat="1" ht="20.25">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14"/>
        <v/>
      </c>
      <c r="T824" s="225" t="str">
        <f ca="1">IF(B824="","",IF(ISERROR(MATCH($J824,SorP!$B$1:$B$6230,0)),"",INDIRECT("'SorP'!$A$"&amp;MATCH($J824,SorP!$B$1:$B$6230,0))))</f>
        <v/>
      </c>
      <c r="U824" s="241"/>
      <c r="V824" s="275" t="e">
        <f>IF(C824="",NA(),MATCH($B824&amp;$C824,'Smelter Look-up'!$J:$J,0))</f>
        <v>#N/A</v>
      </c>
      <c r="W824" s="276"/>
      <c r="X824" s="276">
        <f t="shared" ca="1" si="115"/>
        <v>0</v>
      </c>
      <c r="Y824" s="276"/>
      <c r="Z824" s="276"/>
      <c r="AB824" s="278" t="str">
        <f t="shared" si="116"/>
        <v/>
      </c>
    </row>
    <row r="825" spans="1:28" s="277" customFormat="1" ht="20.25">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14"/>
        <v/>
      </c>
      <c r="T825" s="225" t="str">
        <f ca="1">IF(B825="","",IF(ISERROR(MATCH($J825,SorP!$B$1:$B$6230,0)),"",INDIRECT("'SorP'!$A$"&amp;MATCH($J825,SorP!$B$1:$B$6230,0))))</f>
        <v/>
      </c>
      <c r="U825" s="241"/>
      <c r="V825" s="275" t="e">
        <f>IF(C825="",NA(),MATCH($B825&amp;$C825,'Smelter Look-up'!$J:$J,0))</f>
        <v>#N/A</v>
      </c>
      <c r="W825" s="276"/>
      <c r="X825" s="276">
        <f t="shared" ca="1" si="115"/>
        <v>0</v>
      </c>
      <c r="Y825" s="276"/>
      <c r="Z825" s="276"/>
      <c r="AB825" s="278" t="str">
        <f t="shared" si="116"/>
        <v/>
      </c>
    </row>
    <row r="826" spans="1:28" s="277" customFormat="1" ht="20.25">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ca="1" si="114"/>
        <v/>
      </c>
      <c r="T826" s="225" t="str">
        <f ca="1">IF(B826="","",IF(ISERROR(MATCH($J826,SorP!$B$1:$B$6230,0)),"",INDIRECT("'SorP'!$A$"&amp;MATCH($J826,SorP!$B$1:$B$6230,0))))</f>
        <v/>
      </c>
      <c r="U826" s="241"/>
      <c r="V826" s="275" t="e">
        <f>IF(C826="",NA(),MATCH($B826&amp;$C826,'Smelter Look-up'!$J:$J,0))</f>
        <v>#N/A</v>
      </c>
      <c r="W826" s="276"/>
      <c r="X826" s="276">
        <f t="shared" ca="1" si="115"/>
        <v>0</v>
      </c>
      <c r="Y826" s="276"/>
      <c r="Z826" s="276"/>
      <c r="AB826" s="278" t="str">
        <f t="shared" si="116"/>
        <v/>
      </c>
    </row>
    <row r="827" spans="1:28" s="277" customFormat="1" ht="20.25">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ref="S827" ca="1" si="117">IF(B827="","",IF(ISERROR(MATCH($E827,CL,0)),"Unknown",INDIRECT("'C'!$A$"&amp;MATCH($E827,CL,0)+1)))</f>
        <v/>
      </c>
      <c r="T827" s="225" t="str">
        <f ca="1">IF(B827="","",IF(ISERROR(MATCH($J827,SorP!$B$1:$B$6230,0)),"",INDIRECT("'SorP'!$A$"&amp;MATCH($J827,SorP!$B$1:$B$6230,0))))</f>
        <v/>
      </c>
      <c r="U827" s="241"/>
      <c r="V827" s="275" t="e">
        <f>IF(C827="",NA(),MATCH($B827&amp;$C827,'Smelter Look-up'!$J:$J,0))</f>
        <v>#N/A</v>
      </c>
      <c r="W827" s="276"/>
      <c r="X827" s="276">
        <f t="shared" ref="X827" ca="1" si="118">IF(AND(C827="Smelter not listed",OR(LEN(D827)=0,LEN(E827)=0)),1,0)</f>
        <v>0</v>
      </c>
      <c r="Y827" s="276"/>
      <c r="Z827" s="276"/>
      <c r="AB827" s="278" t="str">
        <f t="shared" ref="AB827" si="119">B827&amp;C827</f>
        <v/>
      </c>
    </row>
    <row r="828" spans="1:28" s="277" customFormat="1" ht="20.25">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ref="S828:S859" ca="1" si="120">IF(B828="","",IF(ISERROR(MATCH($E828,CL,0)),"Unknown",INDIRECT("'C'!$A$"&amp;MATCH($E828,CL,0)+1)))</f>
        <v/>
      </c>
      <c r="T828" s="225" t="str">
        <f ca="1">IF(B828="","",IF(ISERROR(MATCH($J828,SorP!$B$1:$B$6230,0)),"",INDIRECT("'SorP'!$A$"&amp;MATCH($J828,SorP!$B$1:$B$6230,0))))</f>
        <v/>
      </c>
      <c r="U828" s="241"/>
      <c r="V828" s="275" t="e">
        <f>IF(C828="",NA(),MATCH($B828&amp;$C828,'Smelter Look-up'!$J:$J,0))</f>
        <v>#N/A</v>
      </c>
      <c r="W828" s="276"/>
      <c r="X828" s="276">
        <f t="shared" ref="X828:X859" ca="1" si="121">IF(AND(C828="Smelter not listed",OR(LEN(D828)=0,LEN(E828)=0)),1,0)</f>
        <v>0</v>
      </c>
      <c r="Y828" s="276"/>
      <c r="Z828" s="276"/>
      <c r="AB828" s="278" t="str">
        <f t="shared" ref="AB828:AB859" si="122">B828&amp;C828</f>
        <v/>
      </c>
    </row>
    <row r="829" spans="1:28" s="277" customFormat="1" ht="20.25">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20"/>
        <v/>
      </c>
      <c r="T829" s="225" t="str">
        <f ca="1">IF(B829="","",IF(ISERROR(MATCH($J829,SorP!$B$1:$B$6230,0)),"",INDIRECT("'SorP'!$A$"&amp;MATCH($J829,SorP!$B$1:$B$6230,0))))</f>
        <v/>
      </c>
      <c r="U829" s="241"/>
      <c r="V829" s="275" t="e">
        <f>IF(C829="",NA(),MATCH($B829&amp;$C829,'Smelter Look-up'!$J:$J,0))</f>
        <v>#N/A</v>
      </c>
      <c r="W829" s="276"/>
      <c r="X829" s="276">
        <f t="shared" ca="1" si="121"/>
        <v>0</v>
      </c>
      <c r="Y829" s="276"/>
      <c r="Z829" s="276"/>
      <c r="AB829" s="278" t="str">
        <f t="shared" si="122"/>
        <v/>
      </c>
    </row>
    <row r="830" spans="1:28" s="277" customFormat="1" ht="20.25">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20"/>
        <v/>
      </c>
      <c r="T830" s="225" t="str">
        <f ca="1">IF(B830="","",IF(ISERROR(MATCH($J830,SorP!$B$1:$B$6230,0)),"",INDIRECT("'SorP'!$A$"&amp;MATCH($J830,SorP!$B$1:$B$6230,0))))</f>
        <v/>
      </c>
      <c r="U830" s="241"/>
      <c r="V830" s="275" t="e">
        <f>IF(C830="",NA(),MATCH($B830&amp;$C830,'Smelter Look-up'!$J:$J,0))</f>
        <v>#N/A</v>
      </c>
      <c r="W830" s="276"/>
      <c r="X830" s="276">
        <f t="shared" ca="1" si="121"/>
        <v>0</v>
      </c>
      <c r="Y830" s="276"/>
      <c r="Z830" s="276"/>
      <c r="AB830" s="278" t="str">
        <f t="shared" si="122"/>
        <v/>
      </c>
    </row>
    <row r="831" spans="1:28" s="277" customFormat="1" ht="20.25">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20"/>
        <v/>
      </c>
      <c r="T831" s="225" t="str">
        <f ca="1">IF(B831="","",IF(ISERROR(MATCH($J831,SorP!$B$1:$B$6230,0)),"",INDIRECT("'SorP'!$A$"&amp;MATCH($J831,SorP!$B$1:$B$6230,0))))</f>
        <v/>
      </c>
      <c r="U831" s="241"/>
      <c r="V831" s="275" t="e">
        <f>IF(C831="",NA(),MATCH($B831&amp;$C831,'Smelter Look-up'!$J:$J,0))</f>
        <v>#N/A</v>
      </c>
      <c r="W831" s="276"/>
      <c r="X831" s="276">
        <f t="shared" ca="1" si="121"/>
        <v>0</v>
      </c>
      <c r="Y831" s="276"/>
      <c r="Z831" s="276"/>
      <c r="AB831" s="278" t="str">
        <f t="shared" si="122"/>
        <v/>
      </c>
    </row>
    <row r="832" spans="1:28" s="277" customFormat="1" ht="20.25">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20"/>
        <v/>
      </c>
      <c r="T832" s="225" t="str">
        <f ca="1">IF(B832="","",IF(ISERROR(MATCH($J832,SorP!$B$1:$B$6230,0)),"",INDIRECT("'SorP'!$A$"&amp;MATCH($J832,SorP!$B$1:$B$6230,0))))</f>
        <v/>
      </c>
      <c r="U832" s="241"/>
      <c r="V832" s="275" t="e">
        <f>IF(C832="",NA(),MATCH($B832&amp;$C832,'Smelter Look-up'!$J:$J,0))</f>
        <v>#N/A</v>
      </c>
      <c r="W832" s="276"/>
      <c r="X832" s="276">
        <f t="shared" ca="1" si="121"/>
        <v>0</v>
      </c>
      <c r="Y832" s="276"/>
      <c r="Z832" s="276"/>
      <c r="AB832" s="278" t="str">
        <f t="shared" si="122"/>
        <v/>
      </c>
    </row>
    <row r="833" spans="1:28" s="277" customFormat="1" ht="20.25">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20"/>
        <v/>
      </c>
      <c r="T833" s="225" t="str">
        <f ca="1">IF(B833="","",IF(ISERROR(MATCH($J833,SorP!$B$1:$B$6230,0)),"",INDIRECT("'SorP'!$A$"&amp;MATCH($J833,SorP!$B$1:$B$6230,0))))</f>
        <v/>
      </c>
      <c r="U833" s="241"/>
      <c r="V833" s="275" t="e">
        <f>IF(C833="",NA(),MATCH($B833&amp;$C833,'Smelter Look-up'!$J:$J,0))</f>
        <v>#N/A</v>
      </c>
      <c r="W833" s="276"/>
      <c r="X833" s="276">
        <f t="shared" ca="1" si="121"/>
        <v>0</v>
      </c>
      <c r="Y833" s="276"/>
      <c r="Z833" s="276"/>
      <c r="AB833" s="278" t="str">
        <f t="shared" si="122"/>
        <v/>
      </c>
    </row>
    <row r="834" spans="1:28" s="277" customFormat="1" ht="20.25">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20"/>
        <v/>
      </c>
      <c r="T834" s="225" t="str">
        <f ca="1">IF(B834="","",IF(ISERROR(MATCH($J834,SorP!$B$1:$B$6230,0)),"",INDIRECT("'SorP'!$A$"&amp;MATCH($J834,SorP!$B$1:$B$6230,0))))</f>
        <v/>
      </c>
      <c r="U834" s="241"/>
      <c r="V834" s="275" t="e">
        <f>IF(C834="",NA(),MATCH($B834&amp;$C834,'Smelter Look-up'!$J:$J,0))</f>
        <v>#N/A</v>
      </c>
      <c r="W834" s="276"/>
      <c r="X834" s="276">
        <f t="shared" ca="1" si="121"/>
        <v>0</v>
      </c>
      <c r="Y834" s="276"/>
      <c r="Z834" s="276"/>
      <c r="AB834" s="278" t="str">
        <f t="shared" si="122"/>
        <v/>
      </c>
    </row>
    <row r="835" spans="1:28" s="277" customFormat="1" ht="20.25">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20"/>
        <v/>
      </c>
      <c r="T835" s="225" t="str">
        <f ca="1">IF(B835="","",IF(ISERROR(MATCH($J835,SorP!$B$1:$B$6230,0)),"",INDIRECT("'SorP'!$A$"&amp;MATCH($J835,SorP!$B$1:$B$6230,0))))</f>
        <v/>
      </c>
      <c r="U835" s="241"/>
      <c r="V835" s="275" t="e">
        <f>IF(C835="",NA(),MATCH($B835&amp;$C835,'Smelter Look-up'!$J:$J,0))</f>
        <v>#N/A</v>
      </c>
      <c r="W835" s="276"/>
      <c r="X835" s="276">
        <f t="shared" ca="1" si="121"/>
        <v>0</v>
      </c>
      <c r="Y835" s="276"/>
      <c r="Z835" s="276"/>
      <c r="AB835" s="278" t="str">
        <f t="shared" si="122"/>
        <v/>
      </c>
    </row>
    <row r="836" spans="1:28" s="277" customFormat="1" ht="20.25">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20"/>
        <v/>
      </c>
      <c r="T836" s="225" t="str">
        <f ca="1">IF(B836="","",IF(ISERROR(MATCH($J836,SorP!$B$1:$B$6230,0)),"",INDIRECT("'SorP'!$A$"&amp;MATCH($J836,SorP!$B$1:$B$6230,0))))</f>
        <v/>
      </c>
      <c r="U836" s="241"/>
      <c r="V836" s="275" t="e">
        <f>IF(C836="",NA(),MATCH($B836&amp;$C836,'Smelter Look-up'!$J:$J,0))</f>
        <v>#N/A</v>
      </c>
      <c r="W836" s="276"/>
      <c r="X836" s="276">
        <f t="shared" ca="1" si="121"/>
        <v>0</v>
      </c>
      <c r="Y836" s="276"/>
      <c r="Z836" s="276"/>
      <c r="AB836" s="278" t="str">
        <f t="shared" si="122"/>
        <v/>
      </c>
    </row>
    <row r="837" spans="1:28" s="277" customFormat="1" ht="20.25">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20"/>
        <v/>
      </c>
      <c r="T837" s="225" t="str">
        <f ca="1">IF(B837="","",IF(ISERROR(MATCH($J837,SorP!$B$1:$B$6230,0)),"",INDIRECT("'SorP'!$A$"&amp;MATCH($J837,SorP!$B$1:$B$6230,0))))</f>
        <v/>
      </c>
      <c r="U837" s="241"/>
      <c r="V837" s="275" t="e">
        <f>IF(C837="",NA(),MATCH($B837&amp;$C837,'Smelter Look-up'!$J:$J,0))</f>
        <v>#N/A</v>
      </c>
      <c r="W837" s="276"/>
      <c r="X837" s="276">
        <f t="shared" ca="1" si="121"/>
        <v>0</v>
      </c>
      <c r="Y837" s="276"/>
      <c r="Z837" s="276"/>
      <c r="AB837" s="278" t="str">
        <f t="shared" si="122"/>
        <v/>
      </c>
    </row>
    <row r="838" spans="1:28" s="277" customFormat="1" ht="20.25">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20"/>
        <v/>
      </c>
      <c r="T838" s="225" t="str">
        <f ca="1">IF(B838="","",IF(ISERROR(MATCH($J838,SorP!$B$1:$B$6230,0)),"",INDIRECT("'SorP'!$A$"&amp;MATCH($J838,SorP!$B$1:$B$6230,0))))</f>
        <v/>
      </c>
      <c r="U838" s="241"/>
      <c r="V838" s="275" t="e">
        <f>IF(C838="",NA(),MATCH($B838&amp;$C838,'Smelter Look-up'!$J:$J,0))</f>
        <v>#N/A</v>
      </c>
      <c r="W838" s="276"/>
      <c r="X838" s="276">
        <f t="shared" ca="1" si="121"/>
        <v>0</v>
      </c>
      <c r="Y838" s="276"/>
      <c r="Z838" s="276"/>
      <c r="AB838" s="278" t="str">
        <f t="shared" si="122"/>
        <v/>
      </c>
    </row>
    <row r="839" spans="1:28" s="277" customFormat="1" ht="20.25">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20"/>
        <v/>
      </c>
      <c r="T839" s="225" t="str">
        <f ca="1">IF(B839="","",IF(ISERROR(MATCH($J839,SorP!$B$1:$B$6230,0)),"",INDIRECT("'SorP'!$A$"&amp;MATCH($J839,SorP!$B$1:$B$6230,0))))</f>
        <v/>
      </c>
      <c r="U839" s="241"/>
      <c r="V839" s="275" t="e">
        <f>IF(C839="",NA(),MATCH($B839&amp;$C839,'Smelter Look-up'!$J:$J,0))</f>
        <v>#N/A</v>
      </c>
      <c r="W839" s="276"/>
      <c r="X839" s="276">
        <f t="shared" ca="1" si="121"/>
        <v>0</v>
      </c>
      <c r="Y839" s="276"/>
      <c r="Z839" s="276"/>
      <c r="AB839" s="278" t="str">
        <f t="shared" si="122"/>
        <v/>
      </c>
    </row>
    <row r="840" spans="1:28" s="277" customFormat="1" ht="20.25">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20"/>
        <v/>
      </c>
      <c r="T840" s="225" t="str">
        <f ca="1">IF(B840="","",IF(ISERROR(MATCH($J840,SorP!$B$1:$B$6230,0)),"",INDIRECT("'SorP'!$A$"&amp;MATCH($J840,SorP!$B$1:$B$6230,0))))</f>
        <v/>
      </c>
      <c r="U840" s="241"/>
      <c r="V840" s="275" t="e">
        <f>IF(C840="",NA(),MATCH($B840&amp;$C840,'Smelter Look-up'!$J:$J,0))</f>
        <v>#N/A</v>
      </c>
      <c r="W840" s="276"/>
      <c r="X840" s="276">
        <f t="shared" ca="1" si="121"/>
        <v>0</v>
      </c>
      <c r="Y840" s="276"/>
      <c r="Z840" s="276"/>
      <c r="AB840" s="278" t="str">
        <f t="shared" si="122"/>
        <v/>
      </c>
    </row>
    <row r="841" spans="1:28" s="277" customFormat="1" ht="20.25">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20"/>
        <v/>
      </c>
      <c r="T841" s="225" t="str">
        <f ca="1">IF(B841="","",IF(ISERROR(MATCH($J841,SorP!$B$1:$B$6230,0)),"",INDIRECT("'SorP'!$A$"&amp;MATCH($J841,SorP!$B$1:$B$6230,0))))</f>
        <v/>
      </c>
      <c r="U841" s="241"/>
      <c r="V841" s="275" t="e">
        <f>IF(C841="",NA(),MATCH($B841&amp;$C841,'Smelter Look-up'!$J:$J,0))</f>
        <v>#N/A</v>
      </c>
      <c r="W841" s="276"/>
      <c r="X841" s="276">
        <f t="shared" ca="1" si="121"/>
        <v>0</v>
      </c>
      <c r="Y841" s="276"/>
      <c r="Z841" s="276"/>
      <c r="AB841" s="278" t="str">
        <f t="shared" si="122"/>
        <v/>
      </c>
    </row>
    <row r="842" spans="1:28" s="277" customFormat="1" ht="20.25">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20"/>
        <v/>
      </c>
      <c r="T842" s="225" t="str">
        <f ca="1">IF(B842="","",IF(ISERROR(MATCH($J842,SorP!$B$1:$B$6230,0)),"",INDIRECT("'SorP'!$A$"&amp;MATCH($J842,SorP!$B$1:$B$6230,0))))</f>
        <v/>
      </c>
      <c r="U842" s="241"/>
      <c r="V842" s="275" t="e">
        <f>IF(C842="",NA(),MATCH($B842&amp;$C842,'Smelter Look-up'!$J:$J,0))</f>
        <v>#N/A</v>
      </c>
      <c r="W842" s="276"/>
      <c r="X842" s="276">
        <f t="shared" ca="1" si="121"/>
        <v>0</v>
      </c>
      <c r="Y842" s="276"/>
      <c r="Z842" s="276"/>
      <c r="AB842" s="278" t="str">
        <f t="shared" si="122"/>
        <v/>
      </c>
    </row>
    <row r="843" spans="1:28" s="277" customFormat="1" ht="20.25">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20"/>
        <v/>
      </c>
      <c r="T843" s="225" t="str">
        <f ca="1">IF(B843="","",IF(ISERROR(MATCH($J843,SorP!$B$1:$B$6230,0)),"",INDIRECT("'SorP'!$A$"&amp;MATCH($J843,SorP!$B$1:$B$6230,0))))</f>
        <v/>
      </c>
      <c r="U843" s="241"/>
      <c r="V843" s="275" t="e">
        <f>IF(C843="",NA(),MATCH($B843&amp;$C843,'Smelter Look-up'!$J:$J,0))</f>
        <v>#N/A</v>
      </c>
      <c r="W843" s="276"/>
      <c r="X843" s="276">
        <f t="shared" ca="1" si="121"/>
        <v>0</v>
      </c>
      <c r="Y843" s="276"/>
      <c r="Z843" s="276"/>
      <c r="AB843" s="278" t="str">
        <f t="shared" si="122"/>
        <v/>
      </c>
    </row>
    <row r="844" spans="1:28" s="277" customFormat="1" ht="20.25">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20"/>
        <v/>
      </c>
      <c r="T844" s="225" t="str">
        <f ca="1">IF(B844="","",IF(ISERROR(MATCH($J844,SorP!$B$1:$B$6230,0)),"",INDIRECT("'SorP'!$A$"&amp;MATCH($J844,SorP!$B$1:$B$6230,0))))</f>
        <v/>
      </c>
      <c r="U844" s="241"/>
      <c r="V844" s="275" t="e">
        <f>IF(C844="",NA(),MATCH($B844&amp;$C844,'Smelter Look-up'!$J:$J,0))</f>
        <v>#N/A</v>
      </c>
      <c r="W844" s="276"/>
      <c r="X844" s="276">
        <f t="shared" ca="1" si="121"/>
        <v>0</v>
      </c>
      <c r="Y844" s="276"/>
      <c r="Z844" s="276"/>
      <c r="AB844" s="278" t="str">
        <f t="shared" si="122"/>
        <v/>
      </c>
    </row>
    <row r="845" spans="1:28" s="277" customFormat="1" ht="20.25">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20"/>
        <v/>
      </c>
      <c r="T845" s="225" t="str">
        <f ca="1">IF(B845="","",IF(ISERROR(MATCH($J845,SorP!$B$1:$B$6230,0)),"",INDIRECT("'SorP'!$A$"&amp;MATCH($J845,SorP!$B$1:$B$6230,0))))</f>
        <v/>
      </c>
      <c r="U845" s="241"/>
      <c r="V845" s="275" t="e">
        <f>IF(C845="",NA(),MATCH($B845&amp;$C845,'Smelter Look-up'!$J:$J,0))</f>
        <v>#N/A</v>
      </c>
      <c r="W845" s="276"/>
      <c r="X845" s="276">
        <f t="shared" ca="1" si="121"/>
        <v>0</v>
      </c>
      <c r="Y845" s="276"/>
      <c r="Z845" s="276"/>
      <c r="AB845" s="278" t="str">
        <f t="shared" si="122"/>
        <v/>
      </c>
    </row>
    <row r="846" spans="1:28" s="277" customFormat="1" ht="20.25">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20"/>
        <v/>
      </c>
      <c r="T846" s="225" t="str">
        <f ca="1">IF(B846="","",IF(ISERROR(MATCH($J846,SorP!$B$1:$B$6230,0)),"",INDIRECT("'SorP'!$A$"&amp;MATCH($J846,SorP!$B$1:$B$6230,0))))</f>
        <v/>
      </c>
      <c r="U846" s="241"/>
      <c r="V846" s="275" t="e">
        <f>IF(C846="",NA(),MATCH($B846&amp;$C846,'Smelter Look-up'!$J:$J,0))</f>
        <v>#N/A</v>
      </c>
      <c r="W846" s="276"/>
      <c r="X846" s="276">
        <f t="shared" ca="1" si="121"/>
        <v>0</v>
      </c>
      <c r="Y846" s="276"/>
      <c r="Z846" s="276"/>
      <c r="AB846" s="278" t="str">
        <f t="shared" si="122"/>
        <v/>
      </c>
    </row>
    <row r="847" spans="1:28" s="277" customFormat="1" ht="20.25">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20"/>
        <v/>
      </c>
      <c r="T847" s="225" t="str">
        <f ca="1">IF(B847="","",IF(ISERROR(MATCH($J847,SorP!$B$1:$B$6230,0)),"",INDIRECT("'SorP'!$A$"&amp;MATCH($J847,SorP!$B$1:$B$6230,0))))</f>
        <v/>
      </c>
      <c r="U847" s="241"/>
      <c r="V847" s="275" t="e">
        <f>IF(C847="",NA(),MATCH($B847&amp;$C847,'Smelter Look-up'!$J:$J,0))</f>
        <v>#N/A</v>
      </c>
      <c r="W847" s="276"/>
      <c r="X847" s="276">
        <f t="shared" ca="1" si="121"/>
        <v>0</v>
      </c>
      <c r="Y847" s="276"/>
      <c r="Z847" s="276"/>
      <c r="AB847" s="278" t="str">
        <f t="shared" si="122"/>
        <v/>
      </c>
    </row>
    <row r="848" spans="1:28" s="277" customFormat="1" ht="20.25">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ca="1" si="120"/>
        <v/>
      </c>
      <c r="T848" s="225" t="str">
        <f ca="1">IF(B848="","",IF(ISERROR(MATCH($J848,SorP!$B$1:$B$6230,0)),"",INDIRECT("'SorP'!$A$"&amp;MATCH($J848,SorP!$B$1:$B$6230,0))))</f>
        <v/>
      </c>
      <c r="U848" s="241"/>
      <c r="V848" s="275" t="e">
        <f>IF(C848="",NA(),MATCH($B848&amp;$C848,'Smelter Look-up'!$J:$J,0))</f>
        <v>#N/A</v>
      </c>
      <c r="W848" s="276"/>
      <c r="X848" s="276">
        <f t="shared" ca="1" si="121"/>
        <v>0</v>
      </c>
      <c r="Y848" s="276"/>
      <c r="Z848" s="276"/>
      <c r="AB848" s="278" t="str">
        <f t="shared" si="122"/>
        <v/>
      </c>
    </row>
    <row r="849" spans="1:28" s="277" customFormat="1" ht="20.25">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20"/>
        <v/>
      </c>
      <c r="T849" s="225" t="str">
        <f ca="1">IF(B849="","",IF(ISERROR(MATCH($J849,SorP!$B$1:$B$6230,0)),"",INDIRECT("'SorP'!$A$"&amp;MATCH($J849,SorP!$B$1:$B$6230,0))))</f>
        <v/>
      </c>
      <c r="U849" s="241"/>
      <c r="V849" s="275" t="e">
        <f>IF(C849="",NA(),MATCH($B849&amp;$C849,'Smelter Look-up'!$J:$J,0))</f>
        <v>#N/A</v>
      </c>
      <c r="W849" s="276"/>
      <c r="X849" s="276">
        <f t="shared" ca="1" si="121"/>
        <v>0</v>
      </c>
      <c r="Y849" s="276"/>
      <c r="Z849" s="276"/>
      <c r="AB849" s="278" t="str">
        <f t="shared" si="122"/>
        <v/>
      </c>
    </row>
    <row r="850" spans="1:28" s="277" customFormat="1" ht="20.25">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ca="1" si="120"/>
        <v/>
      </c>
      <c r="T850" s="225" t="str">
        <f ca="1">IF(B850="","",IF(ISERROR(MATCH($J850,SorP!$B$1:$B$6230,0)),"",INDIRECT("'SorP'!$A$"&amp;MATCH($J850,SorP!$B$1:$B$6230,0))))</f>
        <v/>
      </c>
      <c r="U850" s="241"/>
      <c r="V850" s="275" t="e">
        <f>IF(C850="",NA(),MATCH($B850&amp;$C850,'Smelter Look-up'!$J:$J,0))</f>
        <v>#N/A</v>
      </c>
      <c r="W850" s="276"/>
      <c r="X850" s="276">
        <f t="shared" ca="1" si="121"/>
        <v>0</v>
      </c>
      <c r="Y850" s="276"/>
      <c r="Z850" s="276"/>
      <c r="AB850" s="278" t="str">
        <f t="shared" si="122"/>
        <v/>
      </c>
    </row>
    <row r="851" spans="1:28" s="277" customFormat="1" ht="20.25">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20"/>
        <v/>
      </c>
      <c r="T851" s="225" t="str">
        <f ca="1">IF(B851="","",IF(ISERROR(MATCH($J851,SorP!$B$1:$B$6230,0)),"",INDIRECT("'SorP'!$A$"&amp;MATCH($J851,SorP!$B$1:$B$6230,0))))</f>
        <v/>
      </c>
      <c r="U851" s="241"/>
      <c r="V851" s="275" t="e">
        <f>IF(C851="",NA(),MATCH($B851&amp;$C851,'Smelter Look-up'!$J:$J,0))</f>
        <v>#N/A</v>
      </c>
      <c r="W851" s="276"/>
      <c r="X851" s="276">
        <f t="shared" ca="1" si="121"/>
        <v>0</v>
      </c>
      <c r="Y851" s="276"/>
      <c r="Z851" s="276"/>
      <c r="AB851" s="278" t="str">
        <f t="shared" si="122"/>
        <v/>
      </c>
    </row>
    <row r="852" spans="1:28" s="277" customFormat="1" ht="20.25">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20"/>
        <v/>
      </c>
      <c r="T852" s="225" t="str">
        <f ca="1">IF(B852="","",IF(ISERROR(MATCH($J852,SorP!$B$1:$B$6230,0)),"",INDIRECT("'SorP'!$A$"&amp;MATCH($J852,SorP!$B$1:$B$6230,0))))</f>
        <v/>
      </c>
      <c r="U852" s="241"/>
      <c r="V852" s="275" t="e">
        <f>IF(C852="",NA(),MATCH($B852&amp;$C852,'Smelter Look-up'!$J:$J,0))</f>
        <v>#N/A</v>
      </c>
      <c r="W852" s="276"/>
      <c r="X852" s="276">
        <f t="shared" ca="1" si="121"/>
        <v>0</v>
      </c>
      <c r="Y852" s="276"/>
      <c r="Z852" s="276"/>
      <c r="AB852" s="278" t="str">
        <f t="shared" si="122"/>
        <v/>
      </c>
    </row>
    <row r="853" spans="1:28" s="277" customFormat="1" ht="20.25">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20"/>
        <v/>
      </c>
      <c r="T853" s="225" t="str">
        <f ca="1">IF(B853="","",IF(ISERROR(MATCH($J853,SorP!$B$1:$B$6230,0)),"",INDIRECT("'SorP'!$A$"&amp;MATCH($J853,SorP!$B$1:$B$6230,0))))</f>
        <v/>
      </c>
      <c r="U853" s="241"/>
      <c r="V853" s="275" t="e">
        <f>IF(C853="",NA(),MATCH($B853&amp;$C853,'Smelter Look-up'!$J:$J,0))</f>
        <v>#N/A</v>
      </c>
      <c r="W853" s="276"/>
      <c r="X853" s="276">
        <f t="shared" ca="1" si="121"/>
        <v>0</v>
      </c>
      <c r="Y853" s="276"/>
      <c r="Z853" s="276"/>
      <c r="AB853" s="278" t="str">
        <f t="shared" si="122"/>
        <v/>
      </c>
    </row>
    <row r="854" spans="1:28" s="277" customFormat="1" ht="20.25">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20"/>
        <v/>
      </c>
      <c r="T854" s="225" t="str">
        <f ca="1">IF(B854="","",IF(ISERROR(MATCH($J854,SorP!$B$1:$B$6230,0)),"",INDIRECT("'SorP'!$A$"&amp;MATCH($J854,SorP!$B$1:$B$6230,0))))</f>
        <v/>
      </c>
      <c r="U854" s="241"/>
      <c r="V854" s="275" t="e">
        <f>IF(C854="",NA(),MATCH($B854&amp;$C854,'Smelter Look-up'!$J:$J,0))</f>
        <v>#N/A</v>
      </c>
      <c r="W854" s="276"/>
      <c r="X854" s="276">
        <f t="shared" ca="1" si="121"/>
        <v>0</v>
      </c>
      <c r="Y854" s="276"/>
      <c r="Z854" s="276"/>
      <c r="AB854" s="278" t="str">
        <f t="shared" si="122"/>
        <v/>
      </c>
    </row>
    <row r="855" spans="1:28" s="277" customFormat="1" ht="20.25">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20"/>
        <v/>
      </c>
      <c r="T855" s="225" t="str">
        <f ca="1">IF(B855="","",IF(ISERROR(MATCH($J855,SorP!$B$1:$B$6230,0)),"",INDIRECT("'SorP'!$A$"&amp;MATCH($J855,SorP!$B$1:$B$6230,0))))</f>
        <v/>
      </c>
      <c r="U855" s="241"/>
      <c r="V855" s="275" t="e">
        <f>IF(C855="",NA(),MATCH($B855&amp;$C855,'Smelter Look-up'!$J:$J,0))</f>
        <v>#N/A</v>
      </c>
      <c r="W855" s="276"/>
      <c r="X855" s="276">
        <f t="shared" ca="1" si="121"/>
        <v>0</v>
      </c>
      <c r="Y855" s="276"/>
      <c r="Z855" s="276"/>
      <c r="AB855" s="278" t="str">
        <f t="shared" si="122"/>
        <v/>
      </c>
    </row>
    <row r="856" spans="1:28" s="277" customFormat="1" ht="20.25">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20"/>
        <v/>
      </c>
      <c r="T856" s="225" t="str">
        <f ca="1">IF(B856="","",IF(ISERROR(MATCH($J856,SorP!$B$1:$B$6230,0)),"",INDIRECT("'SorP'!$A$"&amp;MATCH($J856,SorP!$B$1:$B$6230,0))))</f>
        <v/>
      </c>
      <c r="U856" s="241"/>
      <c r="V856" s="275" t="e">
        <f>IF(C856="",NA(),MATCH($B856&amp;$C856,'Smelter Look-up'!$J:$J,0))</f>
        <v>#N/A</v>
      </c>
      <c r="W856" s="276"/>
      <c r="X856" s="276">
        <f t="shared" ca="1" si="121"/>
        <v>0</v>
      </c>
      <c r="Y856" s="276"/>
      <c r="Z856" s="276"/>
      <c r="AB856" s="278" t="str">
        <f t="shared" si="122"/>
        <v/>
      </c>
    </row>
    <row r="857" spans="1:28" s="277" customFormat="1" ht="20.25">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20"/>
        <v/>
      </c>
      <c r="T857" s="225" t="str">
        <f ca="1">IF(B857="","",IF(ISERROR(MATCH($J857,SorP!$B$1:$B$6230,0)),"",INDIRECT("'SorP'!$A$"&amp;MATCH($J857,SorP!$B$1:$B$6230,0))))</f>
        <v/>
      </c>
      <c r="U857" s="241"/>
      <c r="V857" s="275" t="e">
        <f>IF(C857="",NA(),MATCH($B857&amp;$C857,'Smelter Look-up'!$J:$J,0))</f>
        <v>#N/A</v>
      </c>
      <c r="W857" s="276"/>
      <c r="X857" s="276">
        <f t="shared" ca="1" si="121"/>
        <v>0</v>
      </c>
      <c r="Y857" s="276"/>
      <c r="Z857" s="276"/>
      <c r="AB857" s="278" t="str">
        <f t="shared" si="122"/>
        <v/>
      </c>
    </row>
    <row r="858" spans="1:28" s="277" customFormat="1" ht="20.25">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20"/>
        <v/>
      </c>
      <c r="T858" s="225" t="str">
        <f ca="1">IF(B858="","",IF(ISERROR(MATCH($J858,SorP!$B$1:$B$6230,0)),"",INDIRECT("'SorP'!$A$"&amp;MATCH($J858,SorP!$B$1:$B$6230,0))))</f>
        <v/>
      </c>
      <c r="U858" s="241"/>
      <c r="V858" s="275" t="e">
        <f>IF(C858="",NA(),MATCH($B858&amp;$C858,'Smelter Look-up'!$J:$J,0))</f>
        <v>#N/A</v>
      </c>
      <c r="W858" s="276"/>
      <c r="X858" s="276">
        <f t="shared" ca="1" si="121"/>
        <v>0</v>
      </c>
      <c r="Y858" s="276"/>
      <c r="Z858" s="276"/>
      <c r="AB858" s="278" t="str">
        <f t="shared" si="122"/>
        <v/>
      </c>
    </row>
    <row r="859" spans="1:28" s="277" customFormat="1" ht="20.25">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ca="1" si="120"/>
        <v/>
      </c>
      <c r="T859" s="225" t="str">
        <f ca="1">IF(B859="","",IF(ISERROR(MATCH($J859,SorP!$B$1:$B$6230,0)),"",INDIRECT("'SorP'!$A$"&amp;MATCH($J859,SorP!$B$1:$B$6230,0))))</f>
        <v/>
      </c>
      <c r="U859" s="241"/>
      <c r="V859" s="275" t="e">
        <f>IF(C859="",NA(),MATCH($B859&amp;$C859,'Smelter Look-up'!$J:$J,0))</f>
        <v>#N/A</v>
      </c>
      <c r="W859" s="276"/>
      <c r="X859" s="276">
        <f t="shared" ca="1" si="121"/>
        <v>0</v>
      </c>
      <c r="Y859" s="276"/>
      <c r="Z859" s="276"/>
      <c r="AB859" s="278" t="str">
        <f t="shared" si="122"/>
        <v/>
      </c>
    </row>
    <row r="860" spans="1:28" s="277" customFormat="1" ht="20.25">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ref="S860:S890" ca="1" si="123">IF(B860="","",IF(ISERROR(MATCH($E860,CL,0)),"Unknown",INDIRECT("'C'!$A$"&amp;MATCH($E860,CL,0)+1)))</f>
        <v/>
      </c>
      <c r="T860" s="225" t="str">
        <f ca="1">IF(B860="","",IF(ISERROR(MATCH($J860,SorP!$B$1:$B$6230,0)),"",INDIRECT("'SorP'!$A$"&amp;MATCH($J860,SorP!$B$1:$B$6230,0))))</f>
        <v/>
      </c>
      <c r="U860" s="241"/>
      <c r="V860" s="275" t="e">
        <f>IF(C860="",NA(),MATCH($B860&amp;$C860,'Smelter Look-up'!$J:$J,0))</f>
        <v>#N/A</v>
      </c>
      <c r="W860" s="276"/>
      <c r="X860" s="276">
        <f t="shared" ref="X860:X890" ca="1" si="124">IF(AND(C860="Smelter not listed",OR(LEN(D860)=0,LEN(E860)=0)),1,0)</f>
        <v>0</v>
      </c>
      <c r="Y860" s="276"/>
      <c r="Z860" s="276"/>
      <c r="AB860" s="278" t="str">
        <f t="shared" ref="AB860:AB890" si="125">B860&amp;C860</f>
        <v/>
      </c>
    </row>
    <row r="861" spans="1:28" s="277" customFormat="1" ht="20.25">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23"/>
        <v/>
      </c>
      <c r="T861" s="225" t="str">
        <f ca="1">IF(B861="","",IF(ISERROR(MATCH($J861,SorP!$B$1:$B$6230,0)),"",INDIRECT("'SorP'!$A$"&amp;MATCH($J861,SorP!$B$1:$B$6230,0))))</f>
        <v/>
      </c>
      <c r="U861" s="241"/>
      <c r="V861" s="275" t="e">
        <f>IF(C861="",NA(),MATCH($B861&amp;$C861,'Smelter Look-up'!$J:$J,0))</f>
        <v>#N/A</v>
      </c>
      <c r="W861" s="276"/>
      <c r="X861" s="276">
        <f t="shared" ca="1" si="124"/>
        <v>0</v>
      </c>
      <c r="Y861" s="276"/>
      <c r="Z861" s="276"/>
      <c r="AB861" s="278" t="str">
        <f t="shared" si="125"/>
        <v/>
      </c>
    </row>
    <row r="862" spans="1:28" s="277" customFormat="1" ht="20.25">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23"/>
        <v/>
      </c>
      <c r="T862" s="225" t="str">
        <f ca="1">IF(B862="","",IF(ISERROR(MATCH($J862,SorP!$B$1:$B$6230,0)),"",INDIRECT("'SorP'!$A$"&amp;MATCH($J862,SorP!$B$1:$B$6230,0))))</f>
        <v/>
      </c>
      <c r="U862" s="241"/>
      <c r="V862" s="275" t="e">
        <f>IF(C862="",NA(),MATCH($B862&amp;$C862,'Smelter Look-up'!$J:$J,0))</f>
        <v>#N/A</v>
      </c>
      <c r="W862" s="276"/>
      <c r="X862" s="276">
        <f t="shared" ca="1" si="124"/>
        <v>0</v>
      </c>
      <c r="Y862" s="276"/>
      <c r="Z862" s="276"/>
      <c r="AB862" s="278" t="str">
        <f t="shared" si="125"/>
        <v/>
      </c>
    </row>
    <row r="863" spans="1:28" s="277" customFormat="1" ht="20.25">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23"/>
        <v/>
      </c>
      <c r="T863" s="225" t="str">
        <f ca="1">IF(B863="","",IF(ISERROR(MATCH($J863,SorP!$B$1:$B$6230,0)),"",INDIRECT("'SorP'!$A$"&amp;MATCH($J863,SorP!$B$1:$B$6230,0))))</f>
        <v/>
      </c>
      <c r="U863" s="241"/>
      <c r="V863" s="275" t="e">
        <f>IF(C863="",NA(),MATCH($B863&amp;$C863,'Smelter Look-up'!$J:$J,0))</f>
        <v>#N/A</v>
      </c>
      <c r="W863" s="276"/>
      <c r="X863" s="276">
        <f t="shared" ca="1" si="124"/>
        <v>0</v>
      </c>
      <c r="Y863" s="276"/>
      <c r="Z863" s="276"/>
      <c r="AB863" s="278" t="str">
        <f t="shared" si="125"/>
        <v/>
      </c>
    </row>
    <row r="864" spans="1:28" s="277" customFormat="1" ht="20.25">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23"/>
        <v/>
      </c>
      <c r="T864" s="225" t="str">
        <f ca="1">IF(B864="","",IF(ISERROR(MATCH($J864,SorP!$B$1:$B$6230,0)),"",INDIRECT("'SorP'!$A$"&amp;MATCH($J864,SorP!$B$1:$B$6230,0))))</f>
        <v/>
      </c>
      <c r="U864" s="241"/>
      <c r="V864" s="275" t="e">
        <f>IF(C864="",NA(),MATCH($B864&amp;$C864,'Smelter Look-up'!$J:$J,0))</f>
        <v>#N/A</v>
      </c>
      <c r="W864" s="276"/>
      <c r="X864" s="276">
        <f t="shared" ca="1" si="124"/>
        <v>0</v>
      </c>
      <c r="Y864" s="276"/>
      <c r="Z864" s="276"/>
      <c r="AB864" s="278" t="str">
        <f t="shared" si="125"/>
        <v/>
      </c>
    </row>
    <row r="865" spans="1:28" s="277" customFormat="1" ht="20.25">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23"/>
        <v/>
      </c>
      <c r="T865" s="225" t="str">
        <f ca="1">IF(B865="","",IF(ISERROR(MATCH($J865,SorP!$B$1:$B$6230,0)),"",INDIRECT("'SorP'!$A$"&amp;MATCH($J865,SorP!$B$1:$B$6230,0))))</f>
        <v/>
      </c>
      <c r="U865" s="241"/>
      <c r="V865" s="275" t="e">
        <f>IF(C865="",NA(),MATCH($B865&amp;$C865,'Smelter Look-up'!$J:$J,0))</f>
        <v>#N/A</v>
      </c>
      <c r="W865" s="276"/>
      <c r="X865" s="276">
        <f t="shared" ca="1" si="124"/>
        <v>0</v>
      </c>
      <c r="Y865" s="276"/>
      <c r="Z865" s="276"/>
      <c r="AB865" s="278" t="str">
        <f t="shared" si="125"/>
        <v/>
      </c>
    </row>
    <row r="866" spans="1:28" s="277" customFormat="1" ht="20.25">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23"/>
        <v/>
      </c>
      <c r="T866" s="225" t="str">
        <f ca="1">IF(B866="","",IF(ISERROR(MATCH($J866,SorP!$B$1:$B$6230,0)),"",INDIRECT("'SorP'!$A$"&amp;MATCH($J866,SorP!$B$1:$B$6230,0))))</f>
        <v/>
      </c>
      <c r="U866" s="241"/>
      <c r="V866" s="275" t="e">
        <f>IF(C866="",NA(),MATCH($B866&amp;$C866,'Smelter Look-up'!$J:$J,0))</f>
        <v>#N/A</v>
      </c>
      <c r="W866" s="276"/>
      <c r="X866" s="276">
        <f t="shared" ca="1" si="124"/>
        <v>0</v>
      </c>
      <c r="Y866" s="276"/>
      <c r="Z866" s="276"/>
      <c r="AB866" s="278" t="str">
        <f t="shared" si="125"/>
        <v/>
      </c>
    </row>
    <row r="867" spans="1:28" s="277" customFormat="1" ht="20.25">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23"/>
        <v/>
      </c>
      <c r="T867" s="225" t="str">
        <f ca="1">IF(B867="","",IF(ISERROR(MATCH($J867,SorP!$B$1:$B$6230,0)),"",INDIRECT("'SorP'!$A$"&amp;MATCH($J867,SorP!$B$1:$B$6230,0))))</f>
        <v/>
      </c>
      <c r="U867" s="241"/>
      <c r="V867" s="275" t="e">
        <f>IF(C867="",NA(),MATCH($B867&amp;$C867,'Smelter Look-up'!$J:$J,0))</f>
        <v>#N/A</v>
      </c>
      <c r="W867" s="276"/>
      <c r="X867" s="276">
        <f t="shared" ca="1" si="124"/>
        <v>0</v>
      </c>
      <c r="Y867" s="276"/>
      <c r="Z867" s="276"/>
      <c r="AB867" s="278" t="str">
        <f t="shared" si="125"/>
        <v/>
      </c>
    </row>
    <row r="868" spans="1:28" s="277" customFormat="1" ht="20.25">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23"/>
        <v/>
      </c>
      <c r="T868" s="225" t="str">
        <f ca="1">IF(B868="","",IF(ISERROR(MATCH($J868,SorP!$B$1:$B$6230,0)),"",INDIRECT("'SorP'!$A$"&amp;MATCH($J868,SorP!$B$1:$B$6230,0))))</f>
        <v/>
      </c>
      <c r="U868" s="241"/>
      <c r="V868" s="275" t="e">
        <f>IF(C868="",NA(),MATCH($B868&amp;$C868,'Smelter Look-up'!$J:$J,0))</f>
        <v>#N/A</v>
      </c>
      <c r="W868" s="276"/>
      <c r="X868" s="276">
        <f t="shared" ca="1" si="124"/>
        <v>0</v>
      </c>
      <c r="Y868" s="276"/>
      <c r="Z868" s="276"/>
      <c r="AB868" s="278" t="str">
        <f t="shared" si="125"/>
        <v/>
      </c>
    </row>
    <row r="869" spans="1:28" s="277" customFormat="1" ht="20.25">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23"/>
        <v/>
      </c>
      <c r="T869" s="225" t="str">
        <f ca="1">IF(B869="","",IF(ISERROR(MATCH($J869,SorP!$B$1:$B$6230,0)),"",INDIRECT("'SorP'!$A$"&amp;MATCH($J869,SorP!$B$1:$B$6230,0))))</f>
        <v/>
      </c>
      <c r="U869" s="241"/>
      <c r="V869" s="275" t="e">
        <f>IF(C869="",NA(),MATCH($B869&amp;$C869,'Smelter Look-up'!$J:$J,0))</f>
        <v>#N/A</v>
      </c>
      <c r="W869" s="276"/>
      <c r="X869" s="276">
        <f t="shared" ca="1" si="124"/>
        <v>0</v>
      </c>
      <c r="Y869" s="276"/>
      <c r="Z869" s="276"/>
      <c r="AB869" s="278" t="str">
        <f t="shared" si="125"/>
        <v/>
      </c>
    </row>
    <row r="870" spans="1:28" s="277" customFormat="1" ht="20.25">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23"/>
        <v/>
      </c>
      <c r="T870" s="225" t="str">
        <f ca="1">IF(B870="","",IF(ISERROR(MATCH($J870,SorP!$B$1:$B$6230,0)),"",INDIRECT("'SorP'!$A$"&amp;MATCH($J870,SorP!$B$1:$B$6230,0))))</f>
        <v/>
      </c>
      <c r="U870" s="241"/>
      <c r="V870" s="275" t="e">
        <f>IF(C870="",NA(),MATCH($B870&amp;$C870,'Smelter Look-up'!$J:$J,0))</f>
        <v>#N/A</v>
      </c>
      <c r="W870" s="276"/>
      <c r="X870" s="276">
        <f t="shared" ca="1" si="124"/>
        <v>0</v>
      </c>
      <c r="Y870" s="276"/>
      <c r="Z870" s="276"/>
      <c r="AB870" s="278" t="str">
        <f t="shared" si="125"/>
        <v/>
      </c>
    </row>
    <row r="871" spans="1:28" s="277" customFormat="1" ht="20.25">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23"/>
        <v/>
      </c>
      <c r="T871" s="225" t="str">
        <f ca="1">IF(B871="","",IF(ISERROR(MATCH($J871,SorP!$B$1:$B$6230,0)),"",INDIRECT("'SorP'!$A$"&amp;MATCH($J871,SorP!$B$1:$B$6230,0))))</f>
        <v/>
      </c>
      <c r="U871" s="241"/>
      <c r="V871" s="275" t="e">
        <f>IF(C871="",NA(),MATCH($B871&amp;$C871,'Smelter Look-up'!$J:$J,0))</f>
        <v>#N/A</v>
      </c>
      <c r="W871" s="276"/>
      <c r="X871" s="276">
        <f t="shared" ca="1" si="124"/>
        <v>0</v>
      </c>
      <c r="Y871" s="276"/>
      <c r="Z871" s="276"/>
      <c r="AB871" s="278" t="str">
        <f t="shared" si="125"/>
        <v/>
      </c>
    </row>
    <row r="872" spans="1:28" s="277" customFormat="1" ht="20.25">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23"/>
        <v/>
      </c>
      <c r="T872" s="225" t="str">
        <f ca="1">IF(B872="","",IF(ISERROR(MATCH($J872,SorP!$B$1:$B$6230,0)),"",INDIRECT("'SorP'!$A$"&amp;MATCH($J872,SorP!$B$1:$B$6230,0))))</f>
        <v/>
      </c>
      <c r="U872" s="241"/>
      <c r="V872" s="275" t="e">
        <f>IF(C872="",NA(),MATCH($B872&amp;$C872,'Smelter Look-up'!$J:$J,0))</f>
        <v>#N/A</v>
      </c>
      <c r="W872" s="276"/>
      <c r="X872" s="276">
        <f t="shared" ca="1" si="124"/>
        <v>0</v>
      </c>
      <c r="Y872" s="276"/>
      <c r="Z872" s="276"/>
      <c r="AB872" s="278" t="str">
        <f t="shared" si="125"/>
        <v/>
      </c>
    </row>
    <row r="873" spans="1:28" s="277" customFormat="1" ht="20.25">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23"/>
        <v/>
      </c>
      <c r="T873" s="225" t="str">
        <f ca="1">IF(B873="","",IF(ISERROR(MATCH($J873,SorP!$B$1:$B$6230,0)),"",INDIRECT("'SorP'!$A$"&amp;MATCH($J873,SorP!$B$1:$B$6230,0))))</f>
        <v/>
      </c>
      <c r="U873" s="241"/>
      <c r="V873" s="275" t="e">
        <f>IF(C873="",NA(),MATCH($B873&amp;$C873,'Smelter Look-up'!$J:$J,0))</f>
        <v>#N/A</v>
      </c>
      <c r="W873" s="276"/>
      <c r="X873" s="276">
        <f t="shared" ca="1" si="124"/>
        <v>0</v>
      </c>
      <c r="Y873" s="276"/>
      <c r="Z873" s="276"/>
      <c r="AB873" s="278" t="str">
        <f t="shared" si="125"/>
        <v/>
      </c>
    </row>
    <row r="874" spans="1:28" s="277" customFormat="1" ht="20.25">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23"/>
        <v/>
      </c>
      <c r="T874" s="225" t="str">
        <f ca="1">IF(B874="","",IF(ISERROR(MATCH($J874,SorP!$B$1:$B$6230,0)),"",INDIRECT("'SorP'!$A$"&amp;MATCH($J874,SorP!$B$1:$B$6230,0))))</f>
        <v/>
      </c>
      <c r="U874" s="241"/>
      <c r="V874" s="275" t="e">
        <f>IF(C874="",NA(),MATCH($B874&amp;$C874,'Smelter Look-up'!$J:$J,0))</f>
        <v>#N/A</v>
      </c>
      <c r="W874" s="276"/>
      <c r="X874" s="276">
        <f t="shared" ca="1" si="124"/>
        <v>0</v>
      </c>
      <c r="Y874" s="276"/>
      <c r="Z874" s="276"/>
      <c r="AB874" s="278" t="str">
        <f t="shared" si="125"/>
        <v/>
      </c>
    </row>
    <row r="875" spans="1:28" s="277" customFormat="1" ht="20.25">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23"/>
        <v/>
      </c>
      <c r="T875" s="225" t="str">
        <f ca="1">IF(B875="","",IF(ISERROR(MATCH($J875,SorP!$B$1:$B$6230,0)),"",INDIRECT("'SorP'!$A$"&amp;MATCH($J875,SorP!$B$1:$B$6230,0))))</f>
        <v/>
      </c>
      <c r="U875" s="241"/>
      <c r="V875" s="275" t="e">
        <f>IF(C875="",NA(),MATCH($B875&amp;$C875,'Smelter Look-up'!$J:$J,0))</f>
        <v>#N/A</v>
      </c>
      <c r="W875" s="276"/>
      <c r="X875" s="276">
        <f t="shared" ca="1" si="124"/>
        <v>0</v>
      </c>
      <c r="Y875" s="276"/>
      <c r="Z875" s="276"/>
      <c r="AB875" s="278" t="str">
        <f t="shared" si="125"/>
        <v/>
      </c>
    </row>
    <row r="876" spans="1:28" s="277" customFormat="1" ht="20.25">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23"/>
        <v/>
      </c>
      <c r="T876" s="225" t="str">
        <f ca="1">IF(B876="","",IF(ISERROR(MATCH($J876,SorP!$B$1:$B$6230,0)),"",INDIRECT("'SorP'!$A$"&amp;MATCH($J876,SorP!$B$1:$B$6230,0))))</f>
        <v/>
      </c>
      <c r="U876" s="241"/>
      <c r="V876" s="275" t="e">
        <f>IF(C876="",NA(),MATCH($B876&amp;$C876,'Smelter Look-up'!$J:$J,0))</f>
        <v>#N/A</v>
      </c>
      <c r="W876" s="276"/>
      <c r="X876" s="276">
        <f t="shared" ca="1" si="124"/>
        <v>0</v>
      </c>
      <c r="Y876" s="276"/>
      <c r="Z876" s="276"/>
      <c r="AB876" s="278" t="str">
        <f t="shared" si="125"/>
        <v/>
      </c>
    </row>
    <row r="877" spans="1:28" s="277" customFormat="1" ht="20.25">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23"/>
        <v/>
      </c>
      <c r="T877" s="225" t="str">
        <f ca="1">IF(B877="","",IF(ISERROR(MATCH($J877,SorP!$B$1:$B$6230,0)),"",INDIRECT("'SorP'!$A$"&amp;MATCH($J877,SorP!$B$1:$B$6230,0))))</f>
        <v/>
      </c>
      <c r="U877" s="241"/>
      <c r="V877" s="275" t="e">
        <f>IF(C877="",NA(),MATCH($B877&amp;$C877,'Smelter Look-up'!$J:$J,0))</f>
        <v>#N/A</v>
      </c>
      <c r="W877" s="276"/>
      <c r="X877" s="276">
        <f t="shared" ca="1" si="124"/>
        <v>0</v>
      </c>
      <c r="Y877" s="276"/>
      <c r="Z877" s="276"/>
      <c r="AB877" s="278" t="str">
        <f t="shared" si="125"/>
        <v/>
      </c>
    </row>
    <row r="878" spans="1:28" s="277" customFormat="1" ht="20.25">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23"/>
        <v/>
      </c>
      <c r="T878" s="225" t="str">
        <f ca="1">IF(B878="","",IF(ISERROR(MATCH($J878,SorP!$B$1:$B$6230,0)),"",INDIRECT("'SorP'!$A$"&amp;MATCH($J878,SorP!$B$1:$B$6230,0))))</f>
        <v/>
      </c>
      <c r="U878" s="241"/>
      <c r="V878" s="275" t="e">
        <f>IF(C878="",NA(),MATCH($B878&amp;$C878,'Smelter Look-up'!$J:$J,0))</f>
        <v>#N/A</v>
      </c>
      <c r="W878" s="276"/>
      <c r="X878" s="276">
        <f t="shared" ca="1" si="124"/>
        <v>0</v>
      </c>
      <c r="Y878" s="276"/>
      <c r="Z878" s="276"/>
      <c r="AB878" s="278" t="str">
        <f t="shared" si="125"/>
        <v/>
      </c>
    </row>
    <row r="879" spans="1:28" s="277" customFormat="1" ht="20.25">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ca="1" si="123"/>
        <v/>
      </c>
      <c r="T879" s="225" t="str">
        <f ca="1">IF(B879="","",IF(ISERROR(MATCH($J879,SorP!$B$1:$B$6230,0)),"",INDIRECT("'SorP'!$A$"&amp;MATCH($J879,SorP!$B$1:$B$6230,0))))</f>
        <v/>
      </c>
      <c r="U879" s="241"/>
      <c r="V879" s="275" t="e">
        <f>IF(C879="",NA(),MATCH($B879&amp;$C879,'Smelter Look-up'!$J:$J,0))</f>
        <v>#N/A</v>
      </c>
      <c r="W879" s="276"/>
      <c r="X879" s="276">
        <f t="shared" ca="1" si="124"/>
        <v>0</v>
      </c>
      <c r="Y879" s="276"/>
      <c r="Z879" s="276"/>
      <c r="AB879" s="278" t="str">
        <f t="shared" si="125"/>
        <v/>
      </c>
    </row>
    <row r="880" spans="1:28" s="277" customFormat="1" ht="20.25">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ca="1" si="123"/>
        <v/>
      </c>
      <c r="T880" s="225" t="str">
        <f ca="1">IF(B880="","",IF(ISERROR(MATCH($J880,SorP!$B$1:$B$6230,0)),"",INDIRECT("'SorP'!$A$"&amp;MATCH($J880,SorP!$B$1:$B$6230,0))))</f>
        <v/>
      </c>
      <c r="U880" s="241"/>
      <c r="V880" s="275" t="e">
        <f>IF(C880="",NA(),MATCH($B880&amp;$C880,'Smelter Look-up'!$J:$J,0))</f>
        <v>#N/A</v>
      </c>
      <c r="W880" s="276"/>
      <c r="X880" s="276">
        <f t="shared" ca="1" si="124"/>
        <v>0</v>
      </c>
      <c r="Y880" s="276"/>
      <c r="Z880" s="276"/>
      <c r="AB880" s="278" t="str">
        <f t="shared" si="125"/>
        <v/>
      </c>
    </row>
    <row r="881" spans="1:28" s="277" customFormat="1" ht="20.25">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ca="1" si="123"/>
        <v/>
      </c>
      <c r="T881" s="225" t="str">
        <f ca="1">IF(B881="","",IF(ISERROR(MATCH($J881,SorP!$B$1:$B$6230,0)),"",INDIRECT("'SorP'!$A$"&amp;MATCH($J881,SorP!$B$1:$B$6230,0))))</f>
        <v/>
      </c>
      <c r="U881" s="241"/>
      <c r="V881" s="275" t="e">
        <f>IF(C881="",NA(),MATCH($B881&amp;$C881,'Smelter Look-up'!$J:$J,0))</f>
        <v>#N/A</v>
      </c>
      <c r="W881" s="276"/>
      <c r="X881" s="276">
        <f t="shared" ca="1" si="124"/>
        <v>0</v>
      </c>
      <c r="Y881" s="276"/>
      <c r="Z881" s="276"/>
      <c r="AB881" s="278" t="str">
        <f t="shared" si="125"/>
        <v/>
      </c>
    </row>
    <row r="882" spans="1:28" s="277" customFormat="1" ht="20.25">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ca="1" si="123"/>
        <v/>
      </c>
      <c r="T882" s="225" t="str">
        <f ca="1">IF(B882="","",IF(ISERROR(MATCH($J882,SorP!$B$1:$B$6230,0)),"",INDIRECT("'SorP'!$A$"&amp;MATCH($J882,SorP!$B$1:$B$6230,0))))</f>
        <v/>
      </c>
      <c r="U882" s="241"/>
      <c r="V882" s="275" t="e">
        <f>IF(C882="",NA(),MATCH($B882&amp;$C882,'Smelter Look-up'!$J:$J,0))</f>
        <v>#N/A</v>
      </c>
      <c r="W882" s="276"/>
      <c r="X882" s="276">
        <f t="shared" ca="1" si="124"/>
        <v>0</v>
      </c>
      <c r="Y882" s="276"/>
      <c r="Z882" s="276"/>
      <c r="AB882" s="278" t="str">
        <f t="shared" si="125"/>
        <v/>
      </c>
    </row>
    <row r="883" spans="1:28" s="277" customFormat="1" ht="20.25">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23"/>
        <v/>
      </c>
      <c r="T883" s="225" t="str">
        <f ca="1">IF(B883="","",IF(ISERROR(MATCH($J883,SorP!$B$1:$B$6230,0)),"",INDIRECT("'SorP'!$A$"&amp;MATCH($J883,SorP!$B$1:$B$6230,0))))</f>
        <v/>
      </c>
      <c r="U883" s="241"/>
      <c r="V883" s="275" t="e">
        <f>IF(C883="",NA(),MATCH($B883&amp;$C883,'Smelter Look-up'!$J:$J,0))</f>
        <v>#N/A</v>
      </c>
      <c r="W883" s="276"/>
      <c r="X883" s="276">
        <f t="shared" ca="1" si="124"/>
        <v>0</v>
      </c>
      <c r="Y883" s="276"/>
      <c r="Z883" s="276"/>
      <c r="AB883" s="278" t="str">
        <f t="shared" si="125"/>
        <v/>
      </c>
    </row>
    <row r="884" spans="1:28" s="277" customFormat="1" ht="20.25">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23"/>
        <v/>
      </c>
      <c r="T884" s="225" t="str">
        <f ca="1">IF(B884="","",IF(ISERROR(MATCH($J884,SorP!$B$1:$B$6230,0)),"",INDIRECT("'SorP'!$A$"&amp;MATCH($J884,SorP!$B$1:$B$6230,0))))</f>
        <v/>
      </c>
      <c r="U884" s="241"/>
      <c r="V884" s="275" t="e">
        <f>IF(C884="",NA(),MATCH($B884&amp;$C884,'Smelter Look-up'!$J:$J,0))</f>
        <v>#N/A</v>
      </c>
      <c r="W884" s="276"/>
      <c r="X884" s="276">
        <f t="shared" ca="1" si="124"/>
        <v>0</v>
      </c>
      <c r="Y884" s="276"/>
      <c r="Z884" s="276"/>
      <c r="AB884" s="278" t="str">
        <f t="shared" si="125"/>
        <v/>
      </c>
    </row>
    <row r="885" spans="1:28" s="277" customFormat="1" ht="20.25">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23"/>
        <v/>
      </c>
      <c r="T885" s="225" t="str">
        <f ca="1">IF(B885="","",IF(ISERROR(MATCH($J885,SorP!$B$1:$B$6230,0)),"",INDIRECT("'SorP'!$A$"&amp;MATCH($J885,SorP!$B$1:$B$6230,0))))</f>
        <v/>
      </c>
      <c r="U885" s="241"/>
      <c r="V885" s="275" t="e">
        <f>IF(C885="",NA(),MATCH($B885&amp;$C885,'Smelter Look-up'!$J:$J,0))</f>
        <v>#N/A</v>
      </c>
      <c r="W885" s="276"/>
      <c r="X885" s="276">
        <f t="shared" ca="1" si="124"/>
        <v>0</v>
      </c>
      <c r="Y885" s="276"/>
      <c r="Z885" s="276"/>
      <c r="AB885" s="278" t="str">
        <f t="shared" si="125"/>
        <v/>
      </c>
    </row>
    <row r="886" spans="1:28" s="277" customFormat="1" ht="20.25">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23"/>
        <v/>
      </c>
      <c r="T886" s="225" t="str">
        <f ca="1">IF(B886="","",IF(ISERROR(MATCH($J886,SorP!$B$1:$B$6230,0)),"",INDIRECT("'SorP'!$A$"&amp;MATCH($J886,SorP!$B$1:$B$6230,0))))</f>
        <v/>
      </c>
      <c r="U886" s="241"/>
      <c r="V886" s="275" t="e">
        <f>IF(C886="",NA(),MATCH($B886&amp;$C886,'Smelter Look-up'!$J:$J,0))</f>
        <v>#N/A</v>
      </c>
      <c r="W886" s="276"/>
      <c r="X886" s="276">
        <f t="shared" ca="1" si="124"/>
        <v>0</v>
      </c>
      <c r="Y886" s="276"/>
      <c r="Z886" s="276"/>
      <c r="AB886" s="278" t="str">
        <f t="shared" si="125"/>
        <v/>
      </c>
    </row>
    <row r="887" spans="1:28" s="277" customFormat="1" ht="20.25">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23"/>
        <v/>
      </c>
      <c r="T887" s="225" t="str">
        <f ca="1">IF(B887="","",IF(ISERROR(MATCH($J887,SorP!$B$1:$B$6230,0)),"",INDIRECT("'SorP'!$A$"&amp;MATCH($J887,SorP!$B$1:$B$6230,0))))</f>
        <v/>
      </c>
      <c r="U887" s="241"/>
      <c r="V887" s="275" t="e">
        <f>IF(C887="",NA(),MATCH($B887&amp;$C887,'Smelter Look-up'!$J:$J,0))</f>
        <v>#N/A</v>
      </c>
      <c r="W887" s="276"/>
      <c r="X887" s="276">
        <f t="shared" ca="1" si="124"/>
        <v>0</v>
      </c>
      <c r="Y887" s="276"/>
      <c r="Z887" s="276"/>
      <c r="AB887" s="278" t="str">
        <f t="shared" si="125"/>
        <v/>
      </c>
    </row>
    <row r="888" spans="1:28" s="277" customFormat="1" ht="20.25">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23"/>
        <v/>
      </c>
      <c r="T888" s="225" t="str">
        <f ca="1">IF(B888="","",IF(ISERROR(MATCH($J888,SorP!$B$1:$B$6230,0)),"",INDIRECT("'SorP'!$A$"&amp;MATCH($J888,SorP!$B$1:$B$6230,0))))</f>
        <v/>
      </c>
      <c r="U888" s="241"/>
      <c r="V888" s="275" t="e">
        <f>IF(C888="",NA(),MATCH($B888&amp;$C888,'Smelter Look-up'!$J:$J,0))</f>
        <v>#N/A</v>
      </c>
      <c r="W888" s="276"/>
      <c r="X888" s="276">
        <f t="shared" ca="1" si="124"/>
        <v>0</v>
      </c>
      <c r="Y888" s="276"/>
      <c r="Z888" s="276"/>
      <c r="AB888" s="278" t="str">
        <f t="shared" si="125"/>
        <v/>
      </c>
    </row>
    <row r="889" spans="1:28" s="277" customFormat="1" ht="20.25">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23"/>
        <v/>
      </c>
      <c r="T889" s="225" t="str">
        <f ca="1">IF(B889="","",IF(ISERROR(MATCH($J889,SorP!$B$1:$B$6230,0)),"",INDIRECT("'SorP'!$A$"&amp;MATCH($J889,SorP!$B$1:$B$6230,0))))</f>
        <v/>
      </c>
      <c r="U889" s="241"/>
      <c r="V889" s="275" t="e">
        <f>IF(C889="",NA(),MATCH($B889&amp;$C889,'Smelter Look-up'!$J:$J,0))</f>
        <v>#N/A</v>
      </c>
      <c r="W889" s="276"/>
      <c r="X889" s="276">
        <f t="shared" ca="1" si="124"/>
        <v>0</v>
      </c>
      <c r="Y889" s="276"/>
      <c r="Z889" s="276"/>
      <c r="AB889" s="278" t="str">
        <f t="shared" si="125"/>
        <v/>
      </c>
    </row>
    <row r="890" spans="1:28" s="277" customFormat="1" ht="20.25">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ca="1" si="123"/>
        <v/>
      </c>
      <c r="T890" s="225" t="str">
        <f ca="1">IF(B890="","",IF(ISERROR(MATCH($J890,SorP!$B$1:$B$6230,0)),"",INDIRECT("'SorP'!$A$"&amp;MATCH($J890,SorP!$B$1:$B$6230,0))))</f>
        <v/>
      </c>
      <c r="U890" s="241"/>
      <c r="V890" s="275" t="e">
        <f>IF(C890="",NA(),MATCH($B890&amp;$C890,'Smelter Look-up'!$J:$J,0))</f>
        <v>#N/A</v>
      </c>
      <c r="W890" s="276"/>
      <c r="X890" s="276">
        <f t="shared" ca="1" si="124"/>
        <v>0</v>
      </c>
      <c r="Y890" s="276"/>
      <c r="Z890" s="276"/>
      <c r="AB890" s="278" t="str">
        <f t="shared" si="125"/>
        <v/>
      </c>
    </row>
    <row r="891" spans="1:28" s="277" customFormat="1" ht="20.25">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ref="S891" ca="1" si="126">IF(B891="","",IF(ISERROR(MATCH($E891,CL,0)),"Unknown",INDIRECT("'C'!$A$"&amp;MATCH($E891,CL,0)+1)))</f>
        <v/>
      </c>
      <c r="T891" s="225" t="str">
        <f ca="1">IF(B891="","",IF(ISERROR(MATCH($J891,SorP!$B$1:$B$6230,0)),"",INDIRECT("'SorP'!$A$"&amp;MATCH($J891,SorP!$B$1:$B$6230,0))))</f>
        <v/>
      </c>
      <c r="U891" s="241"/>
      <c r="V891" s="275" t="e">
        <f>IF(C891="",NA(),MATCH($B891&amp;$C891,'Smelter Look-up'!$J:$J,0))</f>
        <v>#N/A</v>
      </c>
      <c r="W891" s="276"/>
      <c r="X891" s="276">
        <f t="shared" ref="X891" ca="1" si="127">IF(AND(C891="Smelter not listed",OR(LEN(D891)=0,LEN(E891)=0)),1,0)</f>
        <v>0</v>
      </c>
      <c r="Y891" s="276"/>
      <c r="Z891" s="276"/>
      <c r="AB891" s="278" t="str">
        <f t="shared" ref="AB891" si="128">B891&amp;C891</f>
        <v/>
      </c>
    </row>
    <row r="892" spans="1:28" s="277" customFormat="1" ht="20.25">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ref="S892:S923" ca="1" si="129">IF(B892="","",IF(ISERROR(MATCH($E892,CL,0)),"Unknown",INDIRECT("'C'!$A$"&amp;MATCH($E892,CL,0)+1)))</f>
        <v/>
      </c>
      <c r="T892" s="225" t="str">
        <f ca="1">IF(B892="","",IF(ISERROR(MATCH($J892,SorP!$B$1:$B$6230,0)),"",INDIRECT("'SorP'!$A$"&amp;MATCH($J892,SorP!$B$1:$B$6230,0))))</f>
        <v/>
      </c>
      <c r="U892" s="241"/>
      <c r="V892" s="275" t="e">
        <f>IF(C892="",NA(),MATCH($B892&amp;$C892,'Smelter Look-up'!$J:$J,0))</f>
        <v>#N/A</v>
      </c>
      <c r="W892" s="276"/>
      <c r="X892" s="276">
        <f t="shared" ref="X892:X923" ca="1" si="130">IF(AND(C892="Smelter not listed",OR(LEN(D892)=0,LEN(E892)=0)),1,0)</f>
        <v>0</v>
      </c>
      <c r="Y892" s="276"/>
      <c r="Z892" s="276"/>
      <c r="AB892" s="278" t="str">
        <f t="shared" ref="AB892:AB923" si="131">B892&amp;C892</f>
        <v/>
      </c>
    </row>
    <row r="893" spans="1:28" s="277" customFormat="1" ht="20.25">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29"/>
        <v/>
      </c>
      <c r="T893" s="225" t="str">
        <f ca="1">IF(B893="","",IF(ISERROR(MATCH($J893,SorP!$B$1:$B$6230,0)),"",INDIRECT("'SorP'!$A$"&amp;MATCH($J893,SorP!$B$1:$B$6230,0))))</f>
        <v/>
      </c>
      <c r="U893" s="241"/>
      <c r="V893" s="275" t="e">
        <f>IF(C893="",NA(),MATCH($B893&amp;$C893,'Smelter Look-up'!$J:$J,0))</f>
        <v>#N/A</v>
      </c>
      <c r="W893" s="276"/>
      <c r="X893" s="276">
        <f t="shared" ca="1" si="130"/>
        <v>0</v>
      </c>
      <c r="Y893" s="276"/>
      <c r="Z893" s="276"/>
      <c r="AB893" s="278" t="str">
        <f t="shared" si="131"/>
        <v/>
      </c>
    </row>
    <row r="894" spans="1:28" s="277" customFormat="1" ht="20.25">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29"/>
        <v/>
      </c>
      <c r="T894" s="225" t="str">
        <f ca="1">IF(B894="","",IF(ISERROR(MATCH($J894,SorP!$B$1:$B$6230,0)),"",INDIRECT("'SorP'!$A$"&amp;MATCH($J894,SorP!$B$1:$B$6230,0))))</f>
        <v/>
      </c>
      <c r="U894" s="241"/>
      <c r="V894" s="275" t="e">
        <f>IF(C894="",NA(),MATCH($B894&amp;$C894,'Smelter Look-up'!$J:$J,0))</f>
        <v>#N/A</v>
      </c>
      <c r="W894" s="276"/>
      <c r="X894" s="276">
        <f t="shared" ca="1" si="130"/>
        <v>0</v>
      </c>
      <c r="Y894" s="276"/>
      <c r="Z894" s="276"/>
      <c r="AB894" s="278" t="str">
        <f t="shared" si="131"/>
        <v/>
      </c>
    </row>
    <row r="895" spans="1:28" s="277" customFormat="1" ht="20.25">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29"/>
        <v/>
      </c>
      <c r="T895" s="225" t="str">
        <f ca="1">IF(B895="","",IF(ISERROR(MATCH($J895,SorP!$B$1:$B$6230,0)),"",INDIRECT("'SorP'!$A$"&amp;MATCH($J895,SorP!$B$1:$B$6230,0))))</f>
        <v/>
      </c>
      <c r="U895" s="241"/>
      <c r="V895" s="275" t="e">
        <f>IF(C895="",NA(),MATCH($B895&amp;$C895,'Smelter Look-up'!$J:$J,0))</f>
        <v>#N/A</v>
      </c>
      <c r="W895" s="276"/>
      <c r="X895" s="276">
        <f t="shared" ca="1" si="130"/>
        <v>0</v>
      </c>
      <c r="Y895" s="276"/>
      <c r="Z895" s="276"/>
      <c r="AB895" s="278" t="str">
        <f t="shared" si="131"/>
        <v/>
      </c>
    </row>
    <row r="896" spans="1:28" s="277" customFormat="1" ht="20.25">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29"/>
        <v/>
      </c>
      <c r="T896" s="225" t="str">
        <f ca="1">IF(B896="","",IF(ISERROR(MATCH($J896,SorP!$B$1:$B$6230,0)),"",INDIRECT("'SorP'!$A$"&amp;MATCH($J896,SorP!$B$1:$B$6230,0))))</f>
        <v/>
      </c>
      <c r="U896" s="241"/>
      <c r="V896" s="275" t="e">
        <f>IF(C896="",NA(),MATCH($B896&amp;$C896,'Smelter Look-up'!$J:$J,0))</f>
        <v>#N/A</v>
      </c>
      <c r="W896" s="276"/>
      <c r="X896" s="276">
        <f t="shared" ca="1" si="130"/>
        <v>0</v>
      </c>
      <c r="Y896" s="276"/>
      <c r="Z896" s="276"/>
      <c r="AB896" s="278" t="str">
        <f t="shared" si="131"/>
        <v/>
      </c>
    </row>
    <row r="897" spans="1:28" s="277" customFormat="1" ht="20.25">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29"/>
        <v/>
      </c>
      <c r="T897" s="225" t="str">
        <f ca="1">IF(B897="","",IF(ISERROR(MATCH($J897,SorP!$B$1:$B$6230,0)),"",INDIRECT("'SorP'!$A$"&amp;MATCH($J897,SorP!$B$1:$B$6230,0))))</f>
        <v/>
      </c>
      <c r="U897" s="241"/>
      <c r="V897" s="275" t="e">
        <f>IF(C897="",NA(),MATCH($B897&amp;$C897,'Smelter Look-up'!$J:$J,0))</f>
        <v>#N/A</v>
      </c>
      <c r="W897" s="276"/>
      <c r="X897" s="276">
        <f t="shared" ca="1" si="130"/>
        <v>0</v>
      </c>
      <c r="Y897" s="276"/>
      <c r="Z897" s="276"/>
      <c r="AB897" s="278" t="str">
        <f t="shared" si="131"/>
        <v/>
      </c>
    </row>
    <row r="898" spans="1:28" s="277" customFormat="1" ht="20.25">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29"/>
        <v/>
      </c>
      <c r="T898" s="225" t="str">
        <f ca="1">IF(B898="","",IF(ISERROR(MATCH($J898,SorP!$B$1:$B$6230,0)),"",INDIRECT("'SorP'!$A$"&amp;MATCH($J898,SorP!$B$1:$B$6230,0))))</f>
        <v/>
      </c>
      <c r="U898" s="241"/>
      <c r="V898" s="275" t="e">
        <f>IF(C898="",NA(),MATCH($B898&amp;$C898,'Smelter Look-up'!$J:$J,0))</f>
        <v>#N/A</v>
      </c>
      <c r="W898" s="276"/>
      <c r="X898" s="276">
        <f t="shared" ca="1" si="130"/>
        <v>0</v>
      </c>
      <c r="Y898" s="276"/>
      <c r="Z898" s="276"/>
      <c r="AB898" s="278" t="str">
        <f t="shared" si="131"/>
        <v/>
      </c>
    </row>
    <row r="899" spans="1:28" s="277" customFormat="1" ht="20.25">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29"/>
        <v/>
      </c>
      <c r="T899" s="225" t="str">
        <f ca="1">IF(B899="","",IF(ISERROR(MATCH($J899,SorP!$B$1:$B$6230,0)),"",INDIRECT("'SorP'!$A$"&amp;MATCH($J899,SorP!$B$1:$B$6230,0))))</f>
        <v/>
      </c>
      <c r="U899" s="241"/>
      <c r="V899" s="275" t="e">
        <f>IF(C899="",NA(),MATCH($B899&amp;$C899,'Smelter Look-up'!$J:$J,0))</f>
        <v>#N/A</v>
      </c>
      <c r="W899" s="276"/>
      <c r="X899" s="276">
        <f t="shared" ca="1" si="130"/>
        <v>0</v>
      </c>
      <c r="Y899" s="276"/>
      <c r="Z899" s="276"/>
      <c r="AB899" s="278" t="str">
        <f t="shared" si="131"/>
        <v/>
      </c>
    </row>
    <row r="900" spans="1:28" s="277" customFormat="1" ht="20.25">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29"/>
        <v/>
      </c>
      <c r="T900" s="225" t="str">
        <f ca="1">IF(B900="","",IF(ISERROR(MATCH($J900,SorP!$B$1:$B$6230,0)),"",INDIRECT("'SorP'!$A$"&amp;MATCH($J900,SorP!$B$1:$B$6230,0))))</f>
        <v/>
      </c>
      <c r="U900" s="241"/>
      <c r="V900" s="275" t="e">
        <f>IF(C900="",NA(),MATCH($B900&amp;$C900,'Smelter Look-up'!$J:$J,0))</f>
        <v>#N/A</v>
      </c>
      <c r="W900" s="276"/>
      <c r="X900" s="276">
        <f t="shared" ca="1" si="130"/>
        <v>0</v>
      </c>
      <c r="Y900" s="276"/>
      <c r="Z900" s="276"/>
      <c r="AB900" s="278" t="str">
        <f t="shared" si="131"/>
        <v/>
      </c>
    </row>
    <row r="901" spans="1:28" s="277" customFormat="1" ht="20.25">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29"/>
        <v/>
      </c>
      <c r="T901" s="225" t="str">
        <f ca="1">IF(B901="","",IF(ISERROR(MATCH($J901,SorP!$B$1:$B$6230,0)),"",INDIRECT("'SorP'!$A$"&amp;MATCH($J901,SorP!$B$1:$B$6230,0))))</f>
        <v/>
      </c>
      <c r="U901" s="241"/>
      <c r="V901" s="275" t="e">
        <f>IF(C901="",NA(),MATCH($B901&amp;$C901,'Smelter Look-up'!$J:$J,0))</f>
        <v>#N/A</v>
      </c>
      <c r="W901" s="276"/>
      <c r="X901" s="276">
        <f t="shared" ca="1" si="130"/>
        <v>0</v>
      </c>
      <c r="Y901" s="276"/>
      <c r="Z901" s="276"/>
      <c r="AB901" s="278" t="str">
        <f t="shared" si="131"/>
        <v/>
      </c>
    </row>
    <row r="902" spans="1:28" s="277" customFormat="1" ht="20.25">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29"/>
        <v/>
      </c>
      <c r="T902" s="225" t="str">
        <f ca="1">IF(B902="","",IF(ISERROR(MATCH($J902,SorP!$B$1:$B$6230,0)),"",INDIRECT("'SorP'!$A$"&amp;MATCH($J902,SorP!$B$1:$B$6230,0))))</f>
        <v/>
      </c>
      <c r="U902" s="241"/>
      <c r="V902" s="275" t="e">
        <f>IF(C902="",NA(),MATCH($B902&amp;$C902,'Smelter Look-up'!$J:$J,0))</f>
        <v>#N/A</v>
      </c>
      <c r="W902" s="276"/>
      <c r="X902" s="276">
        <f t="shared" ca="1" si="130"/>
        <v>0</v>
      </c>
      <c r="Y902" s="276"/>
      <c r="Z902" s="276"/>
      <c r="AB902" s="278" t="str">
        <f t="shared" si="131"/>
        <v/>
      </c>
    </row>
    <row r="903" spans="1:28" s="277" customFormat="1" ht="20.25">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29"/>
        <v/>
      </c>
      <c r="T903" s="225" t="str">
        <f ca="1">IF(B903="","",IF(ISERROR(MATCH($J903,SorP!$B$1:$B$6230,0)),"",INDIRECT("'SorP'!$A$"&amp;MATCH($J903,SorP!$B$1:$B$6230,0))))</f>
        <v/>
      </c>
      <c r="U903" s="241"/>
      <c r="V903" s="275" t="e">
        <f>IF(C903="",NA(),MATCH($B903&amp;$C903,'Smelter Look-up'!$J:$J,0))</f>
        <v>#N/A</v>
      </c>
      <c r="W903" s="276"/>
      <c r="X903" s="276">
        <f t="shared" ca="1" si="130"/>
        <v>0</v>
      </c>
      <c r="Y903" s="276"/>
      <c r="Z903" s="276"/>
      <c r="AB903" s="278" t="str">
        <f t="shared" si="131"/>
        <v/>
      </c>
    </row>
    <row r="904" spans="1:28" s="277" customFormat="1" ht="20.25">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29"/>
        <v/>
      </c>
      <c r="T904" s="225" t="str">
        <f ca="1">IF(B904="","",IF(ISERROR(MATCH($J904,SorP!$B$1:$B$6230,0)),"",INDIRECT("'SorP'!$A$"&amp;MATCH($J904,SorP!$B$1:$B$6230,0))))</f>
        <v/>
      </c>
      <c r="U904" s="241"/>
      <c r="V904" s="275" t="e">
        <f>IF(C904="",NA(),MATCH($B904&amp;$C904,'Smelter Look-up'!$J:$J,0))</f>
        <v>#N/A</v>
      </c>
      <c r="W904" s="276"/>
      <c r="X904" s="276">
        <f t="shared" ca="1" si="130"/>
        <v>0</v>
      </c>
      <c r="Y904" s="276"/>
      <c r="Z904" s="276"/>
      <c r="AB904" s="278" t="str">
        <f t="shared" si="131"/>
        <v/>
      </c>
    </row>
    <row r="905" spans="1:28" s="277" customFormat="1" ht="20.25">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29"/>
        <v/>
      </c>
      <c r="T905" s="225" t="str">
        <f ca="1">IF(B905="","",IF(ISERROR(MATCH($J905,SorP!$B$1:$B$6230,0)),"",INDIRECT("'SorP'!$A$"&amp;MATCH($J905,SorP!$B$1:$B$6230,0))))</f>
        <v/>
      </c>
      <c r="U905" s="241"/>
      <c r="V905" s="275" t="e">
        <f>IF(C905="",NA(),MATCH($B905&amp;$C905,'Smelter Look-up'!$J:$J,0))</f>
        <v>#N/A</v>
      </c>
      <c r="W905" s="276"/>
      <c r="X905" s="276">
        <f t="shared" ca="1" si="130"/>
        <v>0</v>
      </c>
      <c r="Y905" s="276"/>
      <c r="Z905" s="276"/>
      <c r="AB905" s="278" t="str">
        <f t="shared" si="131"/>
        <v/>
      </c>
    </row>
    <row r="906" spans="1:28" s="277" customFormat="1" ht="20.25">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29"/>
        <v/>
      </c>
      <c r="T906" s="225" t="str">
        <f ca="1">IF(B906="","",IF(ISERROR(MATCH($J906,SorP!$B$1:$B$6230,0)),"",INDIRECT("'SorP'!$A$"&amp;MATCH($J906,SorP!$B$1:$B$6230,0))))</f>
        <v/>
      </c>
      <c r="U906" s="241"/>
      <c r="V906" s="275" t="e">
        <f>IF(C906="",NA(),MATCH($B906&amp;$C906,'Smelter Look-up'!$J:$J,0))</f>
        <v>#N/A</v>
      </c>
      <c r="W906" s="276"/>
      <c r="X906" s="276">
        <f t="shared" ca="1" si="130"/>
        <v>0</v>
      </c>
      <c r="Y906" s="276"/>
      <c r="Z906" s="276"/>
      <c r="AB906" s="278" t="str">
        <f t="shared" si="131"/>
        <v/>
      </c>
    </row>
    <row r="907" spans="1:28" s="277" customFormat="1" ht="20.25">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29"/>
        <v/>
      </c>
      <c r="T907" s="225" t="str">
        <f ca="1">IF(B907="","",IF(ISERROR(MATCH($J907,SorP!$B$1:$B$6230,0)),"",INDIRECT("'SorP'!$A$"&amp;MATCH($J907,SorP!$B$1:$B$6230,0))))</f>
        <v/>
      </c>
      <c r="U907" s="241"/>
      <c r="V907" s="275" t="e">
        <f>IF(C907="",NA(),MATCH($B907&amp;$C907,'Smelter Look-up'!$J:$J,0))</f>
        <v>#N/A</v>
      </c>
      <c r="W907" s="276"/>
      <c r="X907" s="276">
        <f t="shared" ca="1" si="130"/>
        <v>0</v>
      </c>
      <c r="Y907" s="276"/>
      <c r="Z907" s="276"/>
      <c r="AB907" s="278" t="str">
        <f t="shared" si="131"/>
        <v/>
      </c>
    </row>
    <row r="908" spans="1:28" s="277" customFormat="1" ht="20.25">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29"/>
        <v/>
      </c>
      <c r="T908" s="225" t="str">
        <f ca="1">IF(B908="","",IF(ISERROR(MATCH($J908,SorP!$B$1:$B$6230,0)),"",INDIRECT("'SorP'!$A$"&amp;MATCH($J908,SorP!$B$1:$B$6230,0))))</f>
        <v/>
      </c>
      <c r="U908" s="241"/>
      <c r="V908" s="275" t="e">
        <f>IF(C908="",NA(),MATCH($B908&amp;$C908,'Smelter Look-up'!$J:$J,0))</f>
        <v>#N/A</v>
      </c>
      <c r="W908" s="276"/>
      <c r="X908" s="276">
        <f t="shared" ca="1" si="130"/>
        <v>0</v>
      </c>
      <c r="Y908" s="276"/>
      <c r="Z908" s="276"/>
      <c r="AB908" s="278" t="str">
        <f t="shared" si="131"/>
        <v/>
      </c>
    </row>
    <row r="909" spans="1:28" s="277" customFormat="1" ht="20.25">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29"/>
        <v/>
      </c>
      <c r="T909" s="225" t="str">
        <f ca="1">IF(B909="","",IF(ISERROR(MATCH($J909,SorP!$B$1:$B$6230,0)),"",INDIRECT("'SorP'!$A$"&amp;MATCH($J909,SorP!$B$1:$B$6230,0))))</f>
        <v/>
      </c>
      <c r="U909" s="241"/>
      <c r="V909" s="275" t="e">
        <f>IF(C909="",NA(),MATCH($B909&amp;$C909,'Smelter Look-up'!$J:$J,0))</f>
        <v>#N/A</v>
      </c>
      <c r="W909" s="276"/>
      <c r="X909" s="276">
        <f t="shared" ca="1" si="130"/>
        <v>0</v>
      </c>
      <c r="Y909" s="276"/>
      <c r="Z909" s="276"/>
      <c r="AB909" s="278" t="str">
        <f t="shared" si="131"/>
        <v/>
      </c>
    </row>
    <row r="910" spans="1:28" s="277" customFormat="1" ht="20.25">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29"/>
        <v/>
      </c>
      <c r="T910" s="225" t="str">
        <f ca="1">IF(B910="","",IF(ISERROR(MATCH($J910,SorP!$B$1:$B$6230,0)),"",INDIRECT("'SorP'!$A$"&amp;MATCH($J910,SorP!$B$1:$B$6230,0))))</f>
        <v/>
      </c>
      <c r="U910" s="241"/>
      <c r="V910" s="275" t="e">
        <f>IF(C910="",NA(),MATCH($B910&amp;$C910,'Smelter Look-up'!$J:$J,0))</f>
        <v>#N/A</v>
      </c>
      <c r="W910" s="276"/>
      <c r="X910" s="276">
        <f t="shared" ca="1" si="130"/>
        <v>0</v>
      </c>
      <c r="Y910" s="276"/>
      <c r="Z910" s="276"/>
      <c r="AB910" s="278" t="str">
        <f t="shared" si="131"/>
        <v/>
      </c>
    </row>
    <row r="911" spans="1:28" s="277" customFormat="1" ht="20.25">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29"/>
        <v/>
      </c>
      <c r="T911" s="225" t="str">
        <f ca="1">IF(B911="","",IF(ISERROR(MATCH($J911,SorP!$B$1:$B$6230,0)),"",INDIRECT("'SorP'!$A$"&amp;MATCH($J911,SorP!$B$1:$B$6230,0))))</f>
        <v/>
      </c>
      <c r="U911" s="241"/>
      <c r="V911" s="275" t="e">
        <f>IF(C911="",NA(),MATCH($B911&amp;$C911,'Smelter Look-up'!$J:$J,0))</f>
        <v>#N/A</v>
      </c>
      <c r="W911" s="276"/>
      <c r="X911" s="276">
        <f t="shared" ca="1" si="130"/>
        <v>0</v>
      </c>
      <c r="Y911" s="276"/>
      <c r="Z911" s="276"/>
      <c r="AB911" s="278" t="str">
        <f t="shared" si="131"/>
        <v/>
      </c>
    </row>
    <row r="912" spans="1:28" s="277" customFormat="1" ht="20.25">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ca="1" si="129"/>
        <v/>
      </c>
      <c r="T912" s="225" t="str">
        <f ca="1">IF(B912="","",IF(ISERROR(MATCH($J912,SorP!$B$1:$B$6230,0)),"",INDIRECT("'SorP'!$A$"&amp;MATCH($J912,SorP!$B$1:$B$6230,0))))</f>
        <v/>
      </c>
      <c r="U912" s="241"/>
      <c r="V912" s="275" t="e">
        <f>IF(C912="",NA(),MATCH($B912&amp;$C912,'Smelter Look-up'!$J:$J,0))</f>
        <v>#N/A</v>
      </c>
      <c r="W912" s="276"/>
      <c r="X912" s="276">
        <f t="shared" ca="1" si="130"/>
        <v>0</v>
      </c>
      <c r="Y912" s="276"/>
      <c r="Z912" s="276"/>
      <c r="AB912" s="278" t="str">
        <f t="shared" si="131"/>
        <v/>
      </c>
    </row>
    <row r="913" spans="1:28" s="277" customFormat="1" ht="20.25">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29"/>
        <v/>
      </c>
      <c r="T913" s="225" t="str">
        <f ca="1">IF(B913="","",IF(ISERROR(MATCH($J913,SorP!$B$1:$B$6230,0)),"",INDIRECT("'SorP'!$A$"&amp;MATCH($J913,SorP!$B$1:$B$6230,0))))</f>
        <v/>
      </c>
      <c r="U913" s="241"/>
      <c r="V913" s="275" t="e">
        <f>IF(C913="",NA(),MATCH($B913&amp;$C913,'Smelter Look-up'!$J:$J,0))</f>
        <v>#N/A</v>
      </c>
      <c r="W913" s="276"/>
      <c r="X913" s="276">
        <f t="shared" ca="1" si="130"/>
        <v>0</v>
      </c>
      <c r="Y913" s="276"/>
      <c r="Z913" s="276"/>
      <c r="AB913" s="278" t="str">
        <f t="shared" si="131"/>
        <v/>
      </c>
    </row>
    <row r="914" spans="1:28" s="277" customFormat="1" ht="20.25">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ca="1" si="129"/>
        <v/>
      </c>
      <c r="T914" s="225" t="str">
        <f ca="1">IF(B914="","",IF(ISERROR(MATCH($J914,SorP!$B$1:$B$6230,0)),"",INDIRECT("'SorP'!$A$"&amp;MATCH($J914,SorP!$B$1:$B$6230,0))))</f>
        <v/>
      </c>
      <c r="U914" s="241"/>
      <c r="V914" s="275" t="e">
        <f>IF(C914="",NA(),MATCH($B914&amp;$C914,'Smelter Look-up'!$J:$J,0))</f>
        <v>#N/A</v>
      </c>
      <c r="W914" s="276"/>
      <c r="X914" s="276">
        <f t="shared" ca="1" si="130"/>
        <v>0</v>
      </c>
      <c r="Y914" s="276"/>
      <c r="Z914" s="276"/>
      <c r="AB914" s="278" t="str">
        <f t="shared" si="131"/>
        <v/>
      </c>
    </row>
    <row r="915" spans="1:28" s="277" customFormat="1" ht="20.25">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29"/>
        <v/>
      </c>
      <c r="T915" s="225" t="str">
        <f ca="1">IF(B915="","",IF(ISERROR(MATCH($J915,SorP!$B$1:$B$6230,0)),"",INDIRECT("'SorP'!$A$"&amp;MATCH($J915,SorP!$B$1:$B$6230,0))))</f>
        <v/>
      </c>
      <c r="U915" s="241"/>
      <c r="V915" s="275" t="e">
        <f>IF(C915="",NA(),MATCH($B915&amp;$C915,'Smelter Look-up'!$J:$J,0))</f>
        <v>#N/A</v>
      </c>
      <c r="W915" s="276"/>
      <c r="X915" s="276">
        <f t="shared" ca="1" si="130"/>
        <v>0</v>
      </c>
      <c r="Y915" s="276"/>
      <c r="Z915" s="276"/>
      <c r="AB915" s="278" t="str">
        <f t="shared" si="131"/>
        <v/>
      </c>
    </row>
    <row r="916" spans="1:28" s="277" customFormat="1" ht="20.25">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29"/>
        <v/>
      </c>
      <c r="T916" s="225" t="str">
        <f ca="1">IF(B916="","",IF(ISERROR(MATCH($J916,SorP!$B$1:$B$6230,0)),"",INDIRECT("'SorP'!$A$"&amp;MATCH($J916,SorP!$B$1:$B$6230,0))))</f>
        <v/>
      </c>
      <c r="U916" s="241"/>
      <c r="V916" s="275" t="e">
        <f>IF(C916="",NA(),MATCH($B916&amp;$C916,'Smelter Look-up'!$J:$J,0))</f>
        <v>#N/A</v>
      </c>
      <c r="W916" s="276"/>
      <c r="X916" s="276">
        <f t="shared" ca="1" si="130"/>
        <v>0</v>
      </c>
      <c r="Y916" s="276"/>
      <c r="Z916" s="276"/>
      <c r="AB916" s="278" t="str">
        <f t="shared" si="131"/>
        <v/>
      </c>
    </row>
    <row r="917" spans="1:28" s="277" customFormat="1" ht="20.25">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29"/>
        <v/>
      </c>
      <c r="T917" s="225" t="str">
        <f ca="1">IF(B917="","",IF(ISERROR(MATCH($J917,SorP!$B$1:$B$6230,0)),"",INDIRECT("'SorP'!$A$"&amp;MATCH($J917,SorP!$B$1:$B$6230,0))))</f>
        <v/>
      </c>
      <c r="U917" s="241"/>
      <c r="V917" s="275" t="e">
        <f>IF(C917="",NA(),MATCH($B917&amp;$C917,'Smelter Look-up'!$J:$J,0))</f>
        <v>#N/A</v>
      </c>
      <c r="W917" s="276"/>
      <c r="X917" s="276">
        <f t="shared" ca="1" si="130"/>
        <v>0</v>
      </c>
      <c r="Y917" s="276"/>
      <c r="Z917" s="276"/>
      <c r="AB917" s="278" t="str">
        <f t="shared" si="131"/>
        <v/>
      </c>
    </row>
    <row r="918" spans="1:28" s="277" customFormat="1" ht="20.25">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29"/>
        <v/>
      </c>
      <c r="T918" s="225" t="str">
        <f ca="1">IF(B918="","",IF(ISERROR(MATCH($J918,SorP!$B$1:$B$6230,0)),"",INDIRECT("'SorP'!$A$"&amp;MATCH($J918,SorP!$B$1:$B$6230,0))))</f>
        <v/>
      </c>
      <c r="U918" s="241"/>
      <c r="V918" s="275" t="e">
        <f>IF(C918="",NA(),MATCH($B918&amp;$C918,'Smelter Look-up'!$J:$J,0))</f>
        <v>#N/A</v>
      </c>
      <c r="W918" s="276"/>
      <c r="X918" s="276">
        <f t="shared" ca="1" si="130"/>
        <v>0</v>
      </c>
      <c r="Y918" s="276"/>
      <c r="Z918" s="276"/>
      <c r="AB918" s="278" t="str">
        <f t="shared" si="131"/>
        <v/>
      </c>
    </row>
    <row r="919" spans="1:28" s="277" customFormat="1" ht="20.25">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29"/>
        <v/>
      </c>
      <c r="T919" s="225" t="str">
        <f ca="1">IF(B919="","",IF(ISERROR(MATCH($J919,SorP!$B$1:$B$6230,0)),"",INDIRECT("'SorP'!$A$"&amp;MATCH($J919,SorP!$B$1:$B$6230,0))))</f>
        <v/>
      </c>
      <c r="U919" s="241"/>
      <c r="V919" s="275" t="e">
        <f>IF(C919="",NA(),MATCH($B919&amp;$C919,'Smelter Look-up'!$J:$J,0))</f>
        <v>#N/A</v>
      </c>
      <c r="W919" s="276"/>
      <c r="X919" s="276">
        <f t="shared" ca="1" si="130"/>
        <v>0</v>
      </c>
      <c r="Y919" s="276"/>
      <c r="Z919" s="276"/>
      <c r="AB919" s="278" t="str">
        <f t="shared" si="131"/>
        <v/>
      </c>
    </row>
    <row r="920" spans="1:28" s="277" customFormat="1" ht="20.25">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29"/>
        <v/>
      </c>
      <c r="T920" s="225" t="str">
        <f ca="1">IF(B920="","",IF(ISERROR(MATCH($J920,SorP!$B$1:$B$6230,0)),"",INDIRECT("'SorP'!$A$"&amp;MATCH($J920,SorP!$B$1:$B$6230,0))))</f>
        <v/>
      </c>
      <c r="U920" s="241"/>
      <c r="V920" s="275" t="e">
        <f>IF(C920="",NA(),MATCH($B920&amp;$C920,'Smelter Look-up'!$J:$J,0))</f>
        <v>#N/A</v>
      </c>
      <c r="W920" s="276"/>
      <c r="X920" s="276">
        <f t="shared" ca="1" si="130"/>
        <v>0</v>
      </c>
      <c r="Y920" s="276"/>
      <c r="Z920" s="276"/>
      <c r="AB920" s="278" t="str">
        <f t="shared" si="131"/>
        <v/>
      </c>
    </row>
    <row r="921" spans="1:28" s="277" customFormat="1" ht="20.25">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29"/>
        <v/>
      </c>
      <c r="T921" s="225" t="str">
        <f ca="1">IF(B921="","",IF(ISERROR(MATCH($J921,SorP!$B$1:$B$6230,0)),"",INDIRECT("'SorP'!$A$"&amp;MATCH($J921,SorP!$B$1:$B$6230,0))))</f>
        <v/>
      </c>
      <c r="U921" s="241"/>
      <c r="V921" s="275" t="e">
        <f>IF(C921="",NA(),MATCH($B921&amp;$C921,'Smelter Look-up'!$J:$J,0))</f>
        <v>#N/A</v>
      </c>
      <c r="W921" s="276"/>
      <c r="X921" s="276">
        <f t="shared" ca="1" si="130"/>
        <v>0</v>
      </c>
      <c r="Y921" s="276"/>
      <c r="Z921" s="276"/>
      <c r="AB921" s="278" t="str">
        <f t="shared" si="131"/>
        <v/>
      </c>
    </row>
    <row r="922" spans="1:28" s="277" customFormat="1" ht="20.25">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29"/>
        <v/>
      </c>
      <c r="T922" s="225" t="str">
        <f ca="1">IF(B922="","",IF(ISERROR(MATCH($J922,SorP!$B$1:$B$6230,0)),"",INDIRECT("'SorP'!$A$"&amp;MATCH($J922,SorP!$B$1:$B$6230,0))))</f>
        <v/>
      </c>
      <c r="U922" s="241"/>
      <c r="V922" s="275" t="e">
        <f>IF(C922="",NA(),MATCH($B922&amp;$C922,'Smelter Look-up'!$J:$J,0))</f>
        <v>#N/A</v>
      </c>
      <c r="W922" s="276"/>
      <c r="X922" s="276">
        <f t="shared" ca="1" si="130"/>
        <v>0</v>
      </c>
      <c r="Y922" s="276"/>
      <c r="Z922" s="276"/>
      <c r="AB922" s="278" t="str">
        <f t="shared" si="131"/>
        <v/>
      </c>
    </row>
    <row r="923" spans="1:28" s="277" customFormat="1" ht="20.25">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ca="1" si="129"/>
        <v/>
      </c>
      <c r="T923" s="225" t="str">
        <f ca="1">IF(B923="","",IF(ISERROR(MATCH($J923,SorP!$B$1:$B$6230,0)),"",INDIRECT("'SorP'!$A$"&amp;MATCH($J923,SorP!$B$1:$B$6230,0))))</f>
        <v/>
      </c>
      <c r="U923" s="241"/>
      <c r="V923" s="275" t="e">
        <f>IF(C923="",NA(),MATCH($B923&amp;$C923,'Smelter Look-up'!$J:$J,0))</f>
        <v>#N/A</v>
      </c>
      <c r="W923" s="276"/>
      <c r="X923" s="276">
        <f t="shared" ca="1" si="130"/>
        <v>0</v>
      </c>
      <c r="Y923" s="276"/>
      <c r="Z923" s="276"/>
      <c r="AB923" s="278" t="str">
        <f t="shared" si="131"/>
        <v/>
      </c>
    </row>
    <row r="924" spans="1:28" s="277" customFormat="1" ht="20.25">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ref="S924:S954" ca="1" si="132">IF(B924="","",IF(ISERROR(MATCH($E924,CL,0)),"Unknown",INDIRECT("'C'!$A$"&amp;MATCH($E924,CL,0)+1)))</f>
        <v/>
      </c>
      <c r="T924" s="225" t="str">
        <f ca="1">IF(B924="","",IF(ISERROR(MATCH($J924,SorP!$B$1:$B$6230,0)),"",INDIRECT("'SorP'!$A$"&amp;MATCH($J924,SorP!$B$1:$B$6230,0))))</f>
        <v/>
      </c>
      <c r="U924" s="241"/>
      <c r="V924" s="275" t="e">
        <f>IF(C924="",NA(),MATCH($B924&amp;$C924,'Smelter Look-up'!$J:$J,0))</f>
        <v>#N/A</v>
      </c>
      <c r="W924" s="276"/>
      <c r="X924" s="276">
        <f t="shared" ref="X924:X954" ca="1" si="133">IF(AND(C924="Smelter not listed",OR(LEN(D924)=0,LEN(E924)=0)),1,0)</f>
        <v>0</v>
      </c>
      <c r="Y924" s="276"/>
      <c r="Z924" s="276"/>
      <c r="AB924" s="278" t="str">
        <f t="shared" ref="AB924:AB954" si="134">B924&amp;C924</f>
        <v/>
      </c>
    </row>
    <row r="925" spans="1:28" s="277" customFormat="1" ht="20.25">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32"/>
        <v/>
      </c>
      <c r="T925" s="225" t="str">
        <f ca="1">IF(B925="","",IF(ISERROR(MATCH($J925,SorP!$B$1:$B$6230,0)),"",INDIRECT("'SorP'!$A$"&amp;MATCH($J925,SorP!$B$1:$B$6230,0))))</f>
        <v/>
      </c>
      <c r="U925" s="241"/>
      <c r="V925" s="275" t="e">
        <f>IF(C925="",NA(),MATCH($B925&amp;$C925,'Smelter Look-up'!$J:$J,0))</f>
        <v>#N/A</v>
      </c>
      <c r="W925" s="276"/>
      <c r="X925" s="276">
        <f t="shared" ca="1" si="133"/>
        <v>0</v>
      </c>
      <c r="Y925" s="276"/>
      <c r="Z925" s="276"/>
      <c r="AB925" s="278" t="str">
        <f t="shared" si="134"/>
        <v/>
      </c>
    </row>
    <row r="926" spans="1:28" s="277" customFormat="1" ht="20.25">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32"/>
        <v/>
      </c>
      <c r="T926" s="225" t="str">
        <f ca="1">IF(B926="","",IF(ISERROR(MATCH($J926,SorP!$B$1:$B$6230,0)),"",INDIRECT("'SorP'!$A$"&amp;MATCH($J926,SorP!$B$1:$B$6230,0))))</f>
        <v/>
      </c>
      <c r="U926" s="241"/>
      <c r="V926" s="275" t="e">
        <f>IF(C926="",NA(),MATCH($B926&amp;$C926,'Smelter Look-up'!$J:$J,0))</f>
        <v>#N/A</v>
      </c>
      <c r="W926" s="276"/>
      <c r="X926" s="276">
        <f t="shared" ca="1" si="133"/>
        <v>0</v>
      </c>
      <c r="Y926" s="276"/>
      <c r="Z926" s="276"/>
      <c r="AB926" s="278" t="str">
        <f t="shared" si="134"/>
        <v/>
      </c>
    </row>
    <row r="927" spans="1:28" s="277" customFormat="1" ht="20.25">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32"/>
        <v/>
      </c>
      <c r="T927" s="225" t="str">
        <f ca="1">IF(B927="","",IF(ISERROR(MATCH($J927,SorP!$B$1:$B$6230,0)),"",INDIRECT("'SorP'!$A$"&amp;MATCH($J927,SorP!$B$1:$B$6230,0))))</f>
        <v/>
      </c>
      <c r="U927" s="241"/>
      <c r="V927" s="275" t="e">
        <f>IF(C927="",NA(),MATCH($B927&amp;$C927,'Smelter Look-up'!$J:$J,0))</f>
        <v>#N/A</v>
      </c>
      <c r="W927" s="276"/>
      <c r="X927" s="276">
        <f t="shared" ca="1" si="133"/>
        <v>0</v>
      </c>
      <c r="Y927" s="276"/>
      <c r="Z927" s="276"/>
      <c r="AB927" s="278" t="str">
        <f t="shared" si="134"/>
        <v/>
      </c>
    </row>
    <row r="928" spans="1:28" s="277" customFormat="1" ht="20.25">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32"/>
        <v/>
      </c>
      <c r="T928" s="225" t="str">
        <f ca="1">IF(B928="","",IF(ISERROR(MATCH($J928,SorP!$B$1:$B$6230,0)),"",INDIRECT("'SorP'!$A$"&amp;MATCH($J928,SorP!$B$1:$B$6230,0))))</f>
        <v/>
      </c>
      <c r="U928" s="241"/>
      <c r="V928" s="275" t="e">
        <f>IF(C928="",NA(),MATCH($B928&amp;$C928,'Smelter Look-up'!$J:$J,0))</f>
        <v>#N/A</v>
      </c>
      <c r="W928" s="276"/>
      <c r="X928" s="276">
        <f t="shared" ca="1" si="133"/>
        <v>0</v>
      </c>
      <c r="Y928" s="276"/>
      <c r="Z928" s="276"/>
      <c r="AB928" s="278" t="str">
        <f t="shared" si="134"/>
        <v/>
      </c>
    </row>
    <row r="929" spans="1:28" s="277" customFormat="1" ht="20.25">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32"/>
        <v/>
      </c>
      <c r="T929" s="225" t="str">
        <f ca="1">IF(B929="","",IF(ISERROR(MATCH($J929,SorP!$B$1:$B$6230,0)),"",INDIRECT("'SorP'!$A$"&amp;MATCH($J929,SorP!$B$1:$B$6230,0))))</f>
        <v/>
      </c>
      <c r="U929" s="241"/>
      <c r="V929" s="275" t="e">
        <f>IF(C929="",NA(),MATCH($B929&amp;$C929,'Smelter Look-up'!$J:$J,0))</f>
        <v>#N/A</v>
      </c>
      <c r="W929" s="276"/>
      <c r="X929" s="276">
        <f t="shared" ca="1" si="133"/>
        <v>0</v>
      </c>
      <c r="Y929" s="276"/>
      <c r="Z929" s="276"/>
      <c r="AB929" s="278" t="str">
        <f t="shared" si="134"/>
        <v/>
      </c>
    </row>
    <row r="930" spans="1:28" s="277" customFormat="1" ht="20.25">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32"/>
        <v/>
      </c>
      <c r="T930" s="225" t="str">
        <f ca="1">IF(B930="","",IF(ISERROR(MATCH($J930,SorP!$B$1:$B$6230,0)),"",INDIRECT("'SorP'!$A$"&amp;MATCH($J930,SorP!$B$1:$B$6230,0))))</f>
        <v/>
      </c>
      <c r="U930" s="241"/>
      <c r="V930" s="275" t="e">
        <f>IF(C930="",NA(),MATCH($B930&amp;$C930,'Smelter Look-up'!$J:$J,0))</f>
        <v>#N/A</v>
      </c>
      <c r="W930" s="276"/>
      <c r="X930" s="276">
        <f t="shared" ca="1" si="133"/>
        <v>0</v>
      </c>
      <c r="Y930" s="276"/>
      <c r="Z930" s="276"/>
      <c r="AB930" s="278" t="str">
        <f t="shared" si="134"/>
        <v/>
      </c>
    </row>
    <row r="931" spans="1:28" s="277" customFormat="1" ht="20.25">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32"/>
        <v/>
      </c>
      <c r="T931" s="225" t="str">
        <f ca="1">IF(B931="","",IF(ISERROR(MATCH($J931,SorP!$B$1:$B$6230,0)),"",INDIRECT("'SorP'!$A$"&amp;MATCH($J931,SorP!$B$1:$B$6230,0))))</f>
        <v/>
      </c>
      <c r="U931" s="241"/>
      <c r="V931" s="275" t="e">
        <f>IF(C931="",NA(),MATCH($B931&amp;$C931,'Smelter Look-up'!$J:$J,0))</f>
        <v>#N/A</v>
      </c>
      <c r="W931" s="276"/>
      <c r="X931" s="276">
        <f t="shared" ca="1" si="133"/>
        <v>0</v>
      </c>
      <c r="Y931" s="276"/>
      <c r="Z931" s="276"/>
      <c r="AB931" s="278" t="str">
        <f t="shared" si="134"/>
        <v/>
      </c>
    </row>
    <row r="932" spans="1:28" s="277" customFormat="1" ht="20.25">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32"/>
        <v/>
      </c>
      <c r="T932" s="225" t="str">
        <f ca="1">IF(B932="","",IF(ISERROR(MATCH($J932,SorP!$B$1:$B$6230,0)),"",INDIRECT("'SorP'!$A$"&amp;MATCH($J932,SorP!$B$1:$B$6230,0))))</f>
        <v/>
      </c>
      <c r="U932" s="241"/>
      <c r="V932" s="275" t="e">
        <f>IF(C932="",NA(),MATCH($B932&amp;$C932,'Smelter Look-up'!$J:$J,0))</f>
        <v>#N/A</v>
      </c>
      <c r="W932" s="276"/>
      <c r="X932" s="276">
        <f t="shared" ca="1" si="133"/>
        <v>0</v>
      </c>
      <c r="Y932" s="276"/>
      <c r="Z932" s="276"/>
      <c r="AB932" s="278" t="str">
        <f t="shared" si="134"/>
        <v/>
      </c>
    </row>
    <row r="933" spans="1:28" s="277" customFormat="1" ht="20.25">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32"/>
        <v/>
      </c>
      <c r="T933" s="225" t="str">
        <f ca="1">IF(B933="","",IF(ISERROR(MATCH($J933,SorP!$B$1:$B$6230,0)),"",INDIRECT("'SorP'!$A$"&amp;MATCH($J933,SorP!$B$1:$B$6230,0))))</f>
        <v/>
      </c>
      <c r="U933" s="241"/>
      <c r="V933" s="275" t="e">
        <f>IF(C933="",NA(),MATCH($B933&amp;$C933,'Smelter Look-up'!$J:$J,0))</f>
        <v>#N/A</v>
      </c>
      <c r="W933" s="276"/>
      <c r="X933" s="276">
        <f t="shared" ca="1" si="133"/>
        <v>0</v>
      </c>
      <c r="Y933" s="276"/>
      <c r="Z933" s="276"/>
      <c r="AB933" s="278" t="str">
        <f t="shared" si="134"/>
        <v/>
      </c>
    </row>
    <row r="934" spans="1:28" s="277" customFormat="1" ht="20.25">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32"/>
        <v/>
      </c>
      <c r="T934" s="225" t="str">
        <f ca="1">IF(B934="","",IF(ISERROR(MATCH($J934,SorP!$B$1:$B$6230,0)),"",INDIRECT("'SorP'!$A$"&amp;MATCH($J934,SorP!$B$1:$B$6230,0))))</f>
        <v/>
      </c>
      <c r="U934" s="241"/>
      <c r="V934" s="275" t="e">
        <f>IF(C934="",NA(),MATCH($B934&amp;$C934,'Smelter Look-up'!$J:$J,0))</f>
        <v>#N/A</v>
      </c>
      <c r="W934" s="276"/>
      <c r="X934" s="276">
        <f t="shared" ca="1" si="133"/>
        <v>0</v>
      </c>
      <c r="Y934" s="276"/>
      <c r="Z934" s="276"/>
      <c r="AB934" s="278" t="str">
        <f t="shared" si="134"/>
        <v/>
      </c>
    </row>
    <row r="935" spans="1:28" s="277" customFormat="1" ht="20.25">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32"/>
        <v/>
      </c>
      <c r="T935" s="225" t="str">
        <f ca="1">IF(B935="","",IF(ISERROR(MATCH($J935,SorP!$B$1:$B$6230,0)),"",INDIRECT("'SorP'!$A$"&amp;MATCH($J935,SorP!$B$1:$B$6230,0))))</f>
        <v/>
      </c>
      <c r="U935" s="241"/>
      <c r="V935" s="275" t="e">
        <f>IF(C935="",NA(),MATCH($B935&amp;$C935,'Smelter Look-up'!$J:$J,0))</f>
        <v>#N/A</v>
      </c>
      <c r="W935" s="276"/>
      <c r="X935" s="276">
        <f t="shared" ca="1" si="133"/>
        <v>0</v>
      </c>
      <c r="Y935" s="276"/>
      <c r="Z935" s="276"/>
      <c r="AB935" s="278" t="str">
        <f t="shared" si="134"/>
        <v/>
      </c>
    </row>
    <row r="936" spans="1:28" s="277" customFormat="1" ht="20.25">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32"/>
        <v/>
      </c>
      <c r="T936" s="225" t="str">
        <f ca="1">IF(B936="","",IF(ISERROR(MATCH($J936,SorP!$B$1:$B$6230,0)),"",INDIRECT("'SorP'!$A$"&amp;MATCH($J936,SorP!$B$1:$B$6230,0))))</f>
        <v/>
      </c>
      <c r="U936" s="241"/>
      <c r="V936" s="275" t="e">
        <f>IF(C936="",NA(),MATCH($B936&amp;$C936,'Smelter Look-up'!$J:$J,0))</f>
        <v>#N/A</v>
      </c>
      <c r="W936" s="276"/>
      <c r="X936" s="276">
        <f t="shared" ca="1" si="133"/>
        <v>0</v>
      </c>
      <c r="Y936" s="276"/>
      <c r="Z936" s="276"/>
      <c r="AB936" s="278" t="str">
        <f t="shared" si="134"/>
        <v/>
      </c>
    </row>
    <row r="937" spans="1:28" s="277" customFormat="1" ht="20.25">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32"/>
        <v/>
      </c>
      <c r="T937" s="225" t="str">
        <f ca="1">IF(B937="","",IF(ISERROR(MATCH($J937,SorP!$B$1:$B$6230,0)),"",INDIRECT("'SorP'!$A$"&amp;MATCH($J937,SorP!$B$1:$B$6230,0))))</f>
        <v/>
      </c>
      <c r="U937" s="241"/>
      <c r="V937" s="275" t="e">
        <f>IF(C937="",NA(),MATCH($B937&amp;$C937,'Smelter Look-up'!$J:$J,0))</f>
        <v>#N/A</v>
      </c>
      <c r="W937" s="276"/>
      <c r="X937" s="276">
        <f t="shared" ca="1" si="133"/>
        <v>0</v>
      </c>
      <c r="Y937" s="276"/>
      <c r="Z937" s="276"/>
      <c r="AB937" s="278" t="str">
        <f t="shared" si="134"/>
        <v/>
      </c>
    </row>
    <row r="938" spans="1:28" s="277" customFormat="1" ht="20.25">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32"/>
        <v/>
      </c>
      <c r="T938" s="225" t="str">
        <f ca="1">IF(B938="","",IF(ISERROR(MATCH($J938,SorP!$B$1:$B$6230,0)),"",INDIRECT("'SorP'!$A$"&amp;MATCH($J938,SorP!$B$1:$B$6230,0))))</f>
        <v/>
      </c>
      <c r="U938" s="241"/>
      <c r="V938" s="275" t="e">
        <f>IF(C938="",NA(),MATCH($B938&amp;$C938,'Smelter Look-up'!$J:$J,0))</f>
        <v>#N/A</v>
      </c>
      <c r="W938" s="276"/>
      <c r="X938" s="276">
        <f t="shared" ca="1" si="133"/>
        <v>0</v>
      </c>
      <c r="Y938" s="276"/>
      <c r="Z938" s="276"/>
      <c r="AB938" s="278" t="str">
        <f t="shared" si="134"/>
        <v/>
      </c>
    </row>
    <row r="939" spans="1:28" s="277" customFormat="1" ht="20.25">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32"/>
        <v/>
      </c>
      <c r="T939" s="225" t="str">
        <f ca="1">IF(B939="","",IF(ISERROR(MATCH($J939,SorP!$B$1:$B$6230,0)),"",INDIRECT("'SorP'!$A$"&amp;MATCH($J939,SorP!$B$1:$B$6230,0))))</f>
        <v/>
      </c>
      <c r="U939" s="241"/>
      <c r="V939" s="275" t="e">
        <f>IF(C939="",NA(),MATCH($B939&amp;$C939,'Smelter Look-up'!$J:$J,0))</f>
        <v>#N/A</v>
      </c>
      <c r="W939" s="276"/>
      <c r="X939" s="276">
        <f t="shared" ca="1" si="133"/>
        <v>0</v>
      </c>
      <c r="Y939" s="276"/>
      <c r="Z939" s="276"/>
      <c r="AB939" s="278" t="str">
        <f t="shared" si="134"/>
        <v/>
      </c>
    </row>
    <row r="940" spans="1:28" s="277" customFormat="1" ht="20.25">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32"/>
        <v/>
      </c>
      <c r="T940" s="225" t="str">
        <f ca="1">IF(B940="","",IF(ISERROR(MATCH($J940,SorP!$B$1:$B$6230,0)),"",INDIRECT("'SorP'!$A$"&amp;MATCH($J940,SorP!$B$1:$B$6230,0))))</f>
        <v/>
      </c>
      <c r="U940" s="241"/>
      <c r="V940" s="275" t="e">
        <f>IF(C940="",NA(),MATCH($B940&amp;$C940,'Smelter Look-up'!$J:$J,0))</f>
        <v>#N/A</v>
      </c>
      <c r="W940" s="276"/>
      <c r="X940" s="276">
        <f t="shared" ca="1" si="133"/>
        <v>0</v>
      </c>
      <c r="Y940" s="276"/>
      <c r="Z940" s="276"/>
      <c r="AB940" s="278" t="str">
        <f t="shared" si="134"/>
        <v/>
      </c>
    </row>
    <row r="941" spans="1:28" s="277" customFormat="1" ht="20.25">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32"/>
        <v/>
      </c>
      <c r="T941" s="225" t="str">
        <f ca="1">IF(B941="","",IF(ISERROR(MATCH($J941,SorP!$B$1:$B$6230,0)),"",INDIRECT("'SorP'!$A$"&amp;MATCH($J941,SorP!$B$1:$B$6230,0))))</f>
        <v/>
      </c>
      <c r="U941" s="241"/>
      <c r="V941" s="275" t="e">
        <f>IF(C941="",NA(),MATCH($B941&amp;$C941,'Smelter Look-up'!$J:$J,0))</f>
        <v>#N/A</v>
      </c>
      <c r="W941" s="276"/>
      <c r="X941" s="276">
        <f t="shared" ca="1" si="133"/>
        <v>0</v>
      </c>
      <c r="Y941" s="276"/>
      <c r="Z941" s="276"/>
      <c r="AB941" s="278" t="str">
        <f t="shared" si="134"/>
        <v/>
      </c>
    </row>
    <row r="942" spans="1:28" s="277" customFormat="1" ht="20.25">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32"/>
        <v/>
      </c>
      <c r="T942" s="225" t="str">
        <f ca="1">IF(B942="","",IF(ISERROR(MATCH($J942,SorP!$B$1:$B$6230,0)),"",INDIRECT("'SorP'!$A$"&amp;MATCH($J942,SorP!$B$1:$B$6230,0))))</f>
        <v/>
      </c>
      <c r="U942" s="241"/>
      <c r="V942" s="275" t="e">
        <f>IF(C942="",NA(),MATCH($B942&amp;$C942,'Smelter Look-up'!$J:$J,0))</f>
        <v>#N/A</v>
      </c>
      <c r="W942" s="276"/>
      <c r="X942" s="276">
        <f t="shared" ca="1" si="133"/>
        <v>0</v>
      </c>
      <c r="Y942" s="276"/>
      <c r="Z942" s="276"/>
      <c r="AB942" s="278" t="str">
        <f t="shared" si="134"/>
        <v/>
      </c>
    </row>
    <row r="943" spans="1:28" s="277" customFormat="1" ht="20.25">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ca="1" si="132"/>
        <v/>
      </c>
      <c r="T943" s="225" t="str">
        <f ca="1">IF(B943="","",IF(ISERROR(MATCH($J943,SorP!$B$1:$B$6230,0)),"",INDIRECT("'SorP'!$A$"&amp;MATCH($J943,SorP!$B$1:$B$6230,0))))</f>
        <v/>
      </c>
      <c r="U943" s="241"/>
      <c r="V943" s="275" t="e">
        <f>IF(C943="",NA(),MATCH($B943&amp;$C943,'Smelter Look-up'!$J:$J,0))</f>
        <v>#N/A</v>
      </c>
      <c r="W943" s="276"/>
      <c r="X943" s="276">
        <f t="shared" ca="1" si="133"/>
        <v>0</v>
      </c>
      <c r="Y943" s="276"/>
      <c r="Z943" s="276"/>
      <c r="AB943" s="278" t="str">
        <f t="shared" si="134"/>
        <v/>
      </c>
    </row>
    <row r="944" spans="1:28" s="277" customFormat="1" ht="20.25">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ca="1" si="132"/>
        <v/>
      </c>
      <c r="T944" s="225" t="str">
        <f ca="1">IF(B944="","",IF(ISERROR(MATCH($J944,SorP!$B$1:$B$6230,0)),"",INDIRECT("'SorP'!$A$"&amp;MATCH($J944,SorP!$B$1:$B$6230,0))))</f>
        <v/>
      </c>
      <c r="U944" s="241"/>
      <c r="V944" s="275" t="e">
        <f>IF(C944="",NA(),MATCH($B944&amp;$C944,'Smelter Look-up'!$J:$J,0))</f>
        <v>#N/A</v>
      </c>
      <c r="W944" s="276"/>
      <c r="X944" s="276">
        <f t="shared" ca="1" si="133"/>
        <v>0</v>
      </c>
      <c r="Y944" s="276"/>
      <c r="Z944" s="276"/>
      <c r="AB944" s="278" t="str">
        <f t="shared" si="134"/>
        <v/>
      </c>
    </row>
    <row r="945" spans="1:28" s="277" customFormat="1" ht="20.25">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ca="1" si="132"/>
        <v/>
      </c>
      <c r="T945" s="225" t="str">
        <f ca="1">IF(B945="","",IF(ISERROR(MATCH($J945,SorP!$B$1:$B$6230,0)),"",INDIRECT("'SorP'!$A$"&amp;MATCH($J945,SorP!$B$1:$B$6230,0))))</f>
        <v/>
      </c>
      <c r="U945" s="241"/>
      <c r="V945" s="275" t="e">
        <f>IF(C945="",NA(),MATCH($B945&amp;$C945,'Smelter Look-up'!$J:$J,0))</f>
        <v>#N/A</v>
      </c>
      <c r="W945" s="276"/>
      <c r="X945" s="276">
        <f t="shared" ca="1" si="133"/>
        <v>0</v>
      </c>
      <c r="Y945" s="276"/>
      <c r="Z945" s="276"/>
      <c r="AB945" s="278" t="str">
        <f t="shared" si="134"/>
        <v/>
      </c>
    </row>
    <row r="946" spans="1:28" s="277" customFormat="1" ht="20.25">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ca="1" si="132"/>
        <v/>
      </c>
      <c r="T946" s="225" t="str">
        <f ca="1">IF(B946="","",IF(ISERROR(MATCH($J946,SorP!$B$1:$B$6230,0)),"",INDIRECT("'SorP'!$A$"&amp;MATCH($J946,SorP!$B$1:$B$6230,0))))</f>
        <v/>
      </c>
      <c r="U946" s="241"/>
      <c r="V946" s="275" t="e">
        <f>IF(C946="",NA(),MATCH($B946&amp;$C946,'Smelter Look-up'!$J:$J,0))</f>
        <v>#N/A</v>
      </c>
      <c r="W946" s="276"/>
      <c r="X946" s="276">
        <f t="shared" ca="1" si="133"/>
        <v>0</v>
      </c>
      <c r="Y946" s="276"/>
      <c r="Z946" s="276"/>
      <c r="AB946" s="278" t="str">
        <f t="shared" si="134"/>
        <v/>
      </c>
    </row>
    <row r="947" spans="1:28" s="277" customFormat="1" ht="20.25">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32"/>
        <v/>
      </c>
      <c r="T947" s="225" t="str">
        <f ca="1">IF(B947="","",IF(ISERROR(MATCH($J947,SorP!$B$1:$B$6230,0)),"",INDIRECT("'SorP'!$A$"&amp;MATCH($J947,SorP!$B$1:$B$6230,0))))</f>
        <v/>
      </c>
      <c r="U947" s="241"/>
      <c r="V947" s="275" t="e">
        <f>IF(C947="",NA(),MATCH($B947&amp;$C947,'Smelter Look-up'!$J:$J,0))</f>
        <v>#N/A</v>
      </c>
      <c r="W947" s="276"/>
      <c r="X947" s="276">
        <f t="shared" ca="1" si="133"/>
        <v>0</v>
      </c>
      <c r="Y947" s="276"/>
      <c r="Z947" s="276"/>
      <c r="AB947" s="278" t="str">
        <f t="shared" si="134"/>
        <v/>
      </c>
    </row>
    <row r="948" spans="1:28" s="277" customFormat="1" ht="20.25">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32"/>
        <v/>
      </c>
      <c r="T948" s="225" t="str">
        <f ca="1">IF(B948="","",IF(ISERROR(MATCH($J948,SorP!$B$1:$B$6230,0)),"",INDIRECT("'SorP'!$A$"&amp;MATCH($J948,SorP!$B$1:$B$6230,0))))</f>
        <v/>
      </c>
      <c r="U948" s="241"/>
      <c r="V948" s="275" t="e">
        <f>IF(C948="",NA(),MATCH($B948&amp;$C948,'Smelter Look-up'!$J:$J,0))</f>
        <v>#N/A</v>
      </c>
      <c r="W948" s="276"/>
      <c r="X948" s="276">
        <f t="shared" ca="1" si="133"/>
        <v>0</v>
      </c>
      <c r="Y948" s="276"/>
      <c r="Z948" s="276"/>
      <c r="AB948" s="278" t="str">
        <f t="shared" si="134"/>
        <v/>
      </c>
    </row>
    <row r="949" spans="1:28" s="277" customFormat="1" ht="20.25">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32"/>
        <v/>
      </c>
      <c r="T949" s="225" t="str">
        <f ca="1">IF(B949="","",IF(ISERROR(MATCH($J949,SorP!$B$1:$B$6230,0)),"",INDIRECT("'SorP'!$A$"&amp;MATCH($J949,SorP!$B$1:$B$6230,0))))</f>
        <v/>
      </c>
      <c r="U949" s="241"/>
      <c r="V949" s="275" t="e">
        <f>IF(C949="",NA(),MATCH($B949&amp;$C949,'Smelter Look-up'!$J:$J,0))</f>
        <v>#N/A</v>
      </c>
      <c r="W949" s="276"/>
      <c r="X949" s="276">
        <f t="shared" ca="1" si="133"/>
        <v>0</v>
      </c>
      <c r="Y949" s="276"/>
      <c r="Z949" s="276"/>
      <c r="AB949" s="278" t="str">
        <f t="shared" si="134"/>
        <v/>
      </c>
    </row>
    <row r="950" spans="1:28" s="277" customFormat="1" ht="20.25">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32"/>
        <v/>
      </c>
      <c r="T950" s="225" t="str">
        <f ca="1">IF(B950="","",IF(ISERROR(MATCH($J950,SorP!$B$1:$B$6230,0)),"",INDIRECT("'SorP'!$A$"&amp;MATCH($J950,SorP!$B$1:$B$6230,0))))</f>
        <v/>
      </c>
      <c r="U950" s="241"/>
      <c r="V950" s="275" t="e">
        <f>IF(C950="",NA(),MATCH($B950&amp;$C950,'Smelter Look-up'!$J:$J,0))</f>
        <v>#N/A</v>
      </c>
      <c r="W950" s="276"/>
      <c r="X950" s="276">
        <f t="shared" ca="1" si="133"/>
        <v>0</v>
      </c>
      <c r="Y950" s="276"/>
      <c r="Z950" s="276"/>
      <c r="AB950" s="278" t="str">
        <f t="shared" si="134"/>
        <v/>
      </c>
    </row>
    <row r="951" spans="1:28" s="277" customFormat="1" ht="20.25">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32"/>
        <v/>
      </c>
      <c r="T951" s="225" t="str">
        <f ca="1">IF(B951="","",IF(ISERROR(MATCH($J951,SorP!$B$1:$B$6230,0)),"",INDIRECT("'SorP'!$A$"&amp;MATCH($J951,SorP!$B$1:$B$6230,0))))</f>
        <v/>
      </c>
      <c r="U951" s="241"/>
      <c r="V951" s="275" t="e">
        <f>IF(C951="",NA(),MATCH($B951&amp;$C951,'Smelter Look-up'!$J:$J,0))</f>
        <v>#N/A</v>
      </c>
      <c r="W951" s="276"/>
      <c r="X951" s="276">
        <f t="shared" ca="1" si="133"/>
        <v>0</v>
      </c>
      <c r="Y951" s="276"/>
      <c r="Z951" s="276"/>
      <c r="AB951" s="278" t="str">
        <f t="shared" si="134"/>
        <v/>
      </c>
    </row>
    <row r="952" spans="1:28" s="277" customFormat="1" ht="20.25">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32"/>
        <v/>
      </c>
      <c r="T952" s="225" t="str">
        <f ca="1">IF(B952="","",IF(ISERROR(MATCH($J952,SorP!$B$1:$B$6230,0)),"",INDIRECT("'SorP'!$A$"&amp;MATCH($J952,SorP!$B$1:$B$6230,0))))</f>
        <v/>
      </c>
      <c r="U952" s="241"/>
      <c r="V952" s="275" t="e">
        <f>IF(C952="",NA(),MATCH($B952&amp;$C952,'Smelter Look-up'!$J:$J,0))</f>
        <v>#N/A</v>
      </c>
      <c r="W952" s="276"/>
      <c r="X952" s="276">
        <f t="shared" ca="1" si="133"/>
        <v>0</v>
      </c>
      <c r="Y952" s="276"/>
      <c r="Z952" s="276"/>
      <c r="AB952" s="278" t="str">
        <f t="shared" si="134"/>
        <v/>
      </c>
    </row>
    <row r="953" spans="1:28" s="277" customFormat="1" ht="20.25">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32"/>
        <v/>
      </c>
      <c r="T953" s="225" t="str">
        <f ca="1">IF(B953="","",IF(ISERROR(MATCH($J953,SorP!$B$1:$B$6230,0)),"",INDIRECT("'SorP'!$A$"&amp;MATCH($J953,SorP!$B$1:$B$6230,0))))</f>
        <v/>
      </c>
      <c r="U953" s="241"/>
      <c r="V953" s="275" t="e">
        <f>IF(C953="",NA(),MATCH($B953&amp;$C953,'Smelter Look-up'!$J:$J,0))</f>
        <v>#N/A</v>
      </c>
      <c r="W953" s="276"/>
      <c r="X953" s="276">
        <f t="shared" ca="1" si="133"/>
        <v>0</v>
      </c>
      <c r="Y953" s="276"/>
      <c r="Z953" s="276"/>
      <c r="AB953" s="278" t="str">
        <f t="shared" si="134"/>
        <v/>
      </c>
    </row>
    <row r="954" spans="1:28" s="277" customFormat="1" ht="20.25">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ca="1" si="132"/>
        <v/>
      </c>
      <c r="T954" s="225" t="str">
        <f ca="1">IF(B954="","",IF(ISERROR(MATCH($J954,SorP!$B$1:$B$6230,0)),"",INDIRECT("'SorP'!$A$"&amp;MATCH($J954,SorP!$B$1:$B$6230,0))))</f>
        <v/>
      </c>
      <c r="U954" s="241"/>
      <c r="V954" s="275" t="e">
        <f>IF(C954="",NA(),MATCH($B954&amp;$C954,'Smelter Look-up'!$J:$J,0))</f>
        <v>#N/A</v>
      </c>
      <c r="W954" s="276"/>
      <c r="X954" s="276">
        <f t="shared" ca="1" si="133"/>
        <v>0</v>
      </c>
      <c r="Y954" s="276"/>
      <c r="Z954" s="276"/>
      <c r="AB954" s="278" t="str">
        <f t="shared" si="134"/>
        <v/>
      </c>
    </row>
    <row r="955" spans="1:28" s="277" customFormat="1" ht="20.25">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ref="S955" ca="1" si="135">IF(B955="","",IF(ISERROR(MATCH($E955,CL,0)),"Unknown",INDIRECT("'C'!$A$"&amp;MATCH($E955,CL,0)+1)))</f>
        <v/>
      </c>
      <c r="T955" s="225" t="str">
        <f ca="1">IF(B955="","",IF(ISERROR(MATCH($J955,SorP!$B$1:$B$6230,0)),"",INDIRECT("'SorP'!$A$"&amp;MATCH($J955,SorP!$B$1:$B$6230,0))))</f>
        <v/>
      </c>
      <c r="U955" s="241"/>
      <c r="V955" s="275" t="e">
        <f>IF(C955="",NA(),MATCH($B955&amp;$C955,'Smelter Look-up'!$J:$J,0))</f>
        <v>#N/A</v>
      </c>
      <c r="W955" s="276"/>
      <c r="X955" s="276">
        <f t="shared" ref="X955" ca="1" si="136">IF(AND(C955="Smelter not listed",OR(LEN(D955)=0,LEN(E955)=0)),1,0)</f>
        <v>0</v>
      </c>
      <c r="Y955" s="276"/>
      <c r="Z955" s="276"/>
      <c r="AB955" s="278" t="str">
        <f t="shared" ref="AB955" si="137">B955&amp;C955</f>
        <v/>
      </c>
    </row>
    <row r="956" spans="1:28" s="277" customFormat="1" ht="20.25">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ref="S956:S987" ca="1" si="138">IF(B956="","",IF(ISERROR(MATCH($E956,CL,0)),"Unknown",INDIRECT("'C'!$A$"&amp;MATCH($E956,CL,0)+1)))</f>
        <v/>
      </c>
      <c r="T956" s="225" t="str">
        <f ca="1">IF(B956="","",IF(ISERROR(MATCH($J956,SorP!$B$1:$B$6230,0)),"",INDIRECT("'SorP'!$A$"&amp;MATCH($J956,SorP!$B$1:$B$6230,0))))</f>
        <v/>
      </c>
      <c r="U956" s="241"/>
      <c r="V956" s="275" t="e">
        <f>IF(C956="",NA(),MATCH($B956&amp;$C956,'Smelter Look-up'!$J:$J,0))</f>
        <v>#N/A</v>
      </c>
      <c r="W956" s="276"/>
      <c r="X956" s="276">
        <f t="shared" ref="X956:X987" ca="1" si="139">IF(AND(C956="Smelter not listed",OR(LEN(D956)=0,LEN(E956)=0)),1,0)</f>
        <v>0</v>
      </c>
      <c r="Y956" s="276"/>
      <c r="Z956" s="276"/>
      <c r="AB956" s="278" t="str">
        <f t="shared" ref="AB956:AB987" si="140">B956&amp;C956</f>
        <v/>
      </c>
    </row>
    <row r="957" spans="1:28" s="277" customFormat="1" ht="20.25">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38"/>
        <v/>
      </c>
      <c r="T957" s="225" t="str">
        <f ca="1">IF(B957="","",IF(ISERROR(MATCH($J957,SorP!$B$1:$B$6230,0)),"",INDIRECT("'SorP'!$A$"&amp;MATCH($J957,SorP!$B$1:$B$6230,0))))</f>
        <v/>
      </c>
      <c r="U957" s="241"/>
      <c r="V957" s="275" t="e">
        <f>IF(C957="",NA(),MATCH($B957&amp;$C957,'Smelter Look-up'!$J:$J,0))</f>
        <v>#N/A</v>
      </c>
      <c r="W957" s="276"/>
      <c r="X957" s="276">
        <f t="shared" ca="1" si="139"/>
        <v>0</v>
      </c>
      <c r="Y957" s="276"/>
      <c r="Z957" s="276"/>
      <c r="AB957" s="278" t="str">
        <f t="shared" si="140"/>
        <v/>
      </c>
    </row>
    <row r="958" spans="1:28" s="277" customFormat="1" ht="20.25">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38"/>
        <v/>
      </c>
      <c r="T958" s="225" t="str">
        <f ca="1">IF(B958="","",IF(ISERROR(MATCH($J958,SorP!$B$1:$B$6230,0)),"",INDIRECT("'SorP'!$A$"&amp;MATCH($J958,SorP!$B$1:$B$6230,0))))</f>
        <v/>
      </c>
      <c r="U958" s="241"/>
      <c r="V958" s="275" t="e">
        <f>IF(C958="",NA(),MATCH($B958&amp;$C958,'Smelter Look-up'!$J:$J,0))</f>
        <v>#N/A</v>
      </c>
      <c r="W958" s="276"/>
      <c r="X958" s="276">
        <f t="shared" ca="1" si="139"/>
        <v>0</v>
      </c>
      <c r="Y958" s="276"/>
      <c r="Z958" s="276"/>
      <c r="AB958" s="278" t="str">
        <f t="shared" si="140"/>
        <v/>
      </c>
    </row>
    <row r="959" spans="1:28" s="277" customFormat="1" ht="20.25">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38"/>
        <v/>
      </c>
      <c r="T959" s="225" t="str">
        <f ca="1">IF(B959="","",IF(ISERROR(MATCH($J959,SorP!$B$1:$B$6230,0)),"",INDIRECT("'SorP'!$A$"&amp;MATCH($J959,SorP!$B$1:$B$6230,0))))</f>
        <v/>
      </c>
      <c r="U959" s="241"/>
      <c r="V959" s="275" t="e">
        <f>IF(C959="",NA(),MATCH($B959&amp;$C959,'Smelter Look-up'!$J:$J,0))</f>
        <v>#N/A</v>
      </c>
      <c r="W959" s="276"/>
      <c r="X959" s="276">
        <f t="shared" ca="1" si="139"/>
        <v>0</v>
      </c>
      <c r="Y959" s="276"/>
      <c r="Z959" s="276"/>
      <c r="AB959" s="278" t="str">
        <f t="shared" si="140"/>
        <v/>
      </c>
    </row>
    <row r="960" spans="1:28" s="277" customFormat="1" ht="20.25">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38"/>
        <v/>
      </c>
      <c r="T960" s="225" t="str">
        <f ca="1">IF(B960="","",IF(ISERROR(MATCH($J960,SorP!$B$1:$B$6230,0)),"",INDIRECT("'SorP'!$A$"&amp;MATCH($J960,SorP!$B$1:$B$6230,0))))</f>
        <v/>
      </c>
      <c r="U960" s="241"/>
      <c r="V960" s="275" t="e">
        <f>IF(C960="",NA(),MATCH($B960&amp;$C960,'Smelter Look-up'!$J:$J,0))</f>
        <v>#N/A</v>
      </c>
      <c r="W960" s="276"/>
      <c r="X960" s="276">
        <f t="shared" ca="1" si="139"/>
        <v>0</v>
      </c>
      <c r="Y960" s="276"/>
      <c r="Z960" s="276"/>
      <c r="AB960" s="278" t="str">
        <f t="shared" si="140"/>
        <v/>
      </c>
    </row>
    <row r="961" spans="1:28" s="277" customFormat="1" ht="20.25">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38"/>
        <v/>
      </c>
      <c r="T961" s="225" t="str">
        <f ca="1">IF(B961="","",IF(ISERROR(MATCH($J961,SorP!$B$1:$B$6230,0)),"",INDIRECT("'SorP'!$A$"&amp;MATCH($J961,SorP!$B$1:$B$6230,0))))</f>
        <v/>
      </c>
      <c r="U961" s="241"/>
      <c r="V961" s="275" t="e">
        <f>IF(C961="",NA(),MATCH($B961&amp;$C961,'Smelter Look-up'!$J:$J,0))</f>
        <v>#N/A</v>
      </c>
      <c r="W961" s="276"/>
      <c r="X961" s="276">
        <f t="shared" ca="1" si="139"/>
        <v>0</v>
      </c>
      <c r="Y961" s="276"/>
      <c r="Z961" s="276"/>
      <c r="AB961" s="278" t="str">
        <f t="shared" si="140"/>
        <v/>
      </c>
    </row>
    <row r="962" spans="1:28" s="277" customFormat="1" ht="20.25">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38"/>
        <v/>
      </c>
      <c r="T962" s="225" t="str">
        <f ca="1">IF(B962="","",IF(ISERROR(MATCH($J962,SorP!$B$1:$B$6230,0)),"",INDIRECT("'SorP'!$A$"&amp;MATCH($J962,SorP!$B$1:$B$6230,0))))</f>
        <v/>
      </c>
      <c r="U962" s="241"/>
      <c r="V962" s="275" t="e">
        <f>IF(C962="",NA(),MATCH($B962&amp;$C962,'Smelter Look-up'!$J:$J,0))</f>
        <v>#N/A</v>
      </c>
      <c r="W962" s="276"/>
      <c r="X962" s="276">
        <f t="shared" ca="1" si="139"/>
        <v>0</v>
      </c>
      <c r="Y962" s="276"/>
      <c r="Z962" s="276"/>
      <c r="AB962" s="278" t="str">
        <f t="shared" si="140"/>
        <v/>
      </c>
    </row>
    <row r="963" spans="1:28" s="277" customFormat="1" ht="20.25">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38"/>
        <v/>
      </c>
      <c r="T963" s="225" t="str">
        <f ca="1">IF(B963="","",IF(ISERROR(MATCH($J963,SorP!$B$1:$B$6230,0)),"",INDIRECT("'SorP'!$A$"&amp;MATCH($J963,SorP!$B$1:$B$6230,0))))</f>
        <v/>
      </c>
      <c r="U963" s="241"/>
      <c r="V963" s="275" t="e">
        <f>IF(C963="",NA(),MATCH($B963&amp;$C963,'Smelter Look-up'!$J:$J,0))</f>
        <v>#N/A</v>
      </c>
      <c r="W963" s="276"/>
      <c r="X963" s="276">
        <f t="shared" ca="1" si="139"/>
        <v>0</v>
      </c>
      <c r="Y963" s="276"/>
      <c r="Z963" s="276"/>
      <c r="AB963" s="278" t="str">
        <f t="shared" si="140"/>
        <v/>
      </c>
    </row>
    <row r="964" spans="1:28" s="277" customFormat="1" ht="20.25">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38"/>
        <v/>
      </c>
      <c r="T964" s="225" t="str">
        <f ca="1">IF(B964="","",IF(ISERROR(MATCH($J964,SorP!$B$1:$B$6230,0)),"",INDIRECT("'SorP'!$A$"&amp;MATCH($J964,SorP!$B$1:$B$6230,0))))</f>
        <v/>
      </c>
      <c r="U964" s="241"/>
      <c r="V964" s="275" t="e">
        <f>IF(C964="",NA(),MATCH($B964&amp;$C964,'Smelter Look-up'!$J:$J,0))</f>
        <v>#N/A</v>
      </c>
      <c r="W964" s="276"/>
      <c r="X964" s="276">
        <f t="shared" ca="1" si="139"/>
        <v>0</v>
      </c>
      <c r="Y964" s="276"/>
      <c r="Z964" s="276"/>
      <c r="AB964" s="278" t="str">
        <f t="shared" si="140"/>
        <v/>
      </c>
    </row>
    <row r="965" spans="1:28" s="277" customFormat="1" ht="20.25">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38"/>
        <v/>
      </c>
      <c r="T965" s="225" t="str">
        <f ca="1">IF(B965="","",IF(ISERROR(MATCH($J965,SorP!$B$1:$B$6230,0)),"",INDIRECT("'SorP'!$A$"&amp;MATCH($J965,SorP!$B$1:$B$6230,0))))</f>
        <v/>
      </c>
      <c r="U965" s="241"/>
      <c r="V965" s="275" t="e">
        <f>IF(C965="",NA(),MATCH($B965&amp;$C965,'Smelter Look-up'!$J:$J,0))</f>
        <v>#N/A</v>
      </c>
      <c r="W965" s="276"/>
      <c r="X965" s="276">
        <f t="shared" ca="1" si="139"/>
        <v>0</v>
      </c>
      <c r="Y965" s="276"/>
      <c r="Z965" s="276"/>
      <c r="AB965" s="278" t="str">
        <f t="shared" si="140"/>
        <v/>
      </c>
    </row>
    <row r="966" spans="1:28" s="277" customFormat="1" ht="20.25">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38"/>
        <v/>
      </c>
      <c r="T966" s="225" t="str">
        <f ca="1">IF(B966="","",IF(ISERROR(MATCH($J966,SorP!$B$1:$B$6230,0)),"",INDIRECT("'SorP'!$A$"&amp;MATCH($J966,SorP!$B$1:$B$6230,0))))</f>
        <v/>
      </c>
      <c r="U966" s="241"/>
      <c r="V966" s="275" t="e">
        <f>IF(C966="",NA(),MATCH($B966&amp;$C966,'Smelter Look-up'!$J:$J,0))</f>
        <v>#N/A</v>
      </c>
      <c r="W966" s="276"/>
      <c r="X966" s="276">
        <f t="shared" ca="1" si="139"/>
        <v>0</v>
      </c>
      <c r="Y966" s="276"/>
      <c r="Z966" s="276"/>
      <c r="AB966" s="278" t="str">
        <f t="shared" si="140"/>
        <v/>
      </c>
    </row>
    <row r="967" spans="1:28" s="277" customFormat="1" ht="20.25">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38"/>
        <v/>
      </c>
      <c r="T967" s="225" t="str">
        <f ca="1">IF(B967="","",IF(ISERROR(MATCH($J967,SorP!$B$1:$B$6230,0)),"",INDIRECT("'SorP'!$A$"&amp;MATCH($J967,SorP!$B$1:$B$6230,0))))</f>
        <v/>
      </c>
      <c r="U967" s="241"/>
      <c r="V967" s="275" t="e">
        <f>IF(C967="",NA(),MATCH($B967&amp;$C967,'Smelter Look-up'!$J:$J,0))</f>
        <v>#N/A</v>
      </c>
      <c r="W967" s="276"/>
      <c r="X967" s="276">
        <f t="shared" ca="1" si="139"/>
        <v>0</v>
      </c>
      <c r="Y967" s="276"/>
      <c r="Z967" s="276"/>
      <c r="AB967" s="278" t="str">
        <f t="shared" si="140"/>
        <v/>
      </c>
    </row>
    <row r="968" spans="1:28" s="277" customFormat="1" ht="20.25">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38"/>
        <v/>
      </c>
      <c r="T968" s="225" t="str">
        <f ca="1">IF(B968="","",IF(ISERROR(MATCH($J968,SorP!$B$1:$B$6230,0)),"",INDIRECT("'SorP'!$A$"&amp;MATCH($J968,SorP!$B$1:$B$6230,0))))</f>
        <v/>
      </c>
      <c r="U968" s="241"/>
      <c r="V968" s="275" t="e">
        <f>IF(C968="",NA(),MATCH($B968&amp;$C968,'Smelter Look-up'!$J:$J,0))</f>
        <v>#N/A</v>
      </c>
      <c r="W968" s="276"/>
      <c r="X968" s="276">
        <f t="shared" ca="1" si="139"/>
        <v>0</v>
      </c>
      <c r="Y968" s="276"/>
      <c r="Z968" s="276"/>
      <c r="AB968" s="278" t="str">
        <f t="shared" si="140"/>
        <v/>
      </c>
    </row>
    <row r="969" spans="1:28" s="277" customFormat="1" ht="20.25">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38"/>
        <v/>
      </c>
      <c r="T969" s="225" t="str">
        <f ca="1">IF(B969="","",IF(ISERROR(MATCH($J969,SorP!$B$1:$B$6230,0)),"",INDIRECT("'SorP'!$A$"&amp;MATCH($J969,SorP!$B$1:$B$6230,0))))</f>
        <v/>
      </c>
      <c r="U969" s="241"/>
      <c r="V969" s="275" t="e">
        <f>IF(C969="",NA(),MATCH($B969&amp;$C969,'Smelter Look-up'!$J:$J,0))</f>
        <v>#N/A</v>
      </c>
      <c r="W969" s="276"/>
      <c r="X969" s="276">
        <f t="shared" ca="1" si="139"/>
        <v>0</v>
      </c>
      <c r="Y969" s="276"/>
      <c r="Z969" s="276"/>
      <c r="AB969" s="278" t="str">
        <f t="shared" si="140"/>
        <v/>
      </c>
    </row>
    <row r="970" spans="1:28" s="277" customFormat="1" ht="20.25">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38"/>
        <v/>
      </c>
      <c r="T970" s="225" t="str">
        <f ca="1">IF(B970="","",IF(ISERROR(MATCH($J970,SorP!$B$1:$B$6230,0)),"",INDIRECT("'SorP'!$A$"&amp;MATCH($J970,SorP!$B$1:$B$6230,0))))</f>
        <v/>
      </c>
      <c r="U970" s="241"/>
      <c r="V970" s="275" t="e">
        <f>IF(C970="",NA(),MATCH($B970&amp;$C970,'Smelter Look-up'!$J:$J,0))</f>
        <v>#N/A</v>
      </c>
      <c r="W970" s="276"/>
      <c r="X970" s="276">
        <f t="shared" ca="1" si="139"/>
        <v>0</v>
      </c>
      <c r="Y970" s="276"/>
      <c r="Z970" s="276"/>
      <c r="AB970" s="278" t="str">
        <f t="shared" si="140"/>
        <v/>
      </c>
    </row>
    <row r="971" spans="1:28" s="277" customFormat="1" ht="20.25">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38"/>
        <v/>
      </c>
      <c r="T971" s="225" t="str">
        <f ca="1">IF(B971="","",IF(ISERROR(MATCH($J971,SorP!$B$1:$B$6230,0)),"",INDIRECT("'SorP'!$A$"&amp;MATCH($J971,SorP!$B$1:$B$6230,0))))</f>
        <v/>
      </c>
      <c r="U971" s="241"/>
      <c r="V971" s="275" t="e">
        <f>IF(C971="",NA(),MATCH($B971&amp;$C971,'Smelter Look-up'!$J:$J,0))</f>
        <v>#N/A</v>
      </c>
      <c r="W971" s="276"/>
      <c r="X971" s="276">
        <f t="shared" ca="1" si="139"/>
        <v>0</v>
      </c>
      <c r="Y971" s="276"/>
      <c r="Z971" s="276"/>
      <c r="AB971" s="278" t="str">
        <f t="shared" si="140"/>
        <v/>
      </c>
    </row>
    <row r="972" spans="1:28" s="277" customFormat="1" ht="20.25">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38"/>
        <v/>
      </c>
      <c r="T972" s="225" t="str">
        <f ca="1">IF(B972="","",IF(ISERROR(MATCH($J972,SorP!$B$1:$B$6230,0)),"",INDIRECT("'SorP'!$A$"&amp;MATCH($J972,SorP!$B$1:$B$6230,0))))</f>
        <v/>
      </c>
      <c r="U972" s="241"/>
      <c r="V972" s="275" t="e">
        <f>IF(C972="",NA(),MATCH($B972&amp;$C972,'Smelter Look-up'!$J:$J,0))</f>
        <v>#N/A</v>
      </c>
      <c r="W972" s="276"/>
      <c r="X972" s="276">
        <f t="shared" ca="1" si="139"/>
        <v>0</v>
      </c>
      <c r="Y972" s="276"/>
      <c r="Z972" s="276"/>
      <c r="AB972" s="278" t="str">
        <f t="shared" si="140"/>
        <v/>
      </c>
    </row>
    <row r="973" spans="1:28" s="277" customFormat="1" ht="20.25">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38"/>
        <v/>
      </c>
      <c r="T973" s="225" t="str">
        <f ca="1">IF(B973="","",IF(ISERROR(MATCH($J973,SorP!$B$1:$B$6230,0)),"",INDIRECT("'SorP'!$A$"&amp;MATCH($J973,SorP!$B$1:$B$6230,0))))</f>
        <v/>
      </c>
      <c r="U973" s="241"/>
      <c r="V973" s="275" t="e">
        <f>IF(C973="",NA(),MATCH($B973&amp;$C973,'Smelter Look-up'!$J:$J,0))</f>
        <v>#N/A</v>
      </c>
      <c r="W973" s="276"/>
      <c r="X973" s="276">
        <f t="shared" ca="1" si="139"/>
        <v>0</v>
      </c>
      <c r="Y973" s="276"/>
      <c r="Z973" s="276"/>
      <c r="AB973" s="278" t="str">
        <f t="shared" si="140"/>
        <v/>
      </c>
    </row>
    <row r="974" spans="1:28" s="277" customFormat="1" ht="20.25">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38"/>
        <v/>
      </c>
      <c r="T974" s="225" t="str">
        <f ca="1">IF(B974="","",IF(ISERROR(MATCH($J974,SorP!$B$1:$B$6230,0)),"",INDIRECT("'SorP'!$A$"&amp;MATCH($J974,SorP!$B$1:$B$6230,0))))</f>
        <v/>
      </c>
      <c r="U974" s="241"/>
      <c r="V974" s="275" t="e">
        <f>IF(C974="",NA(),MATCH($B974&amp;$C974,'Smelter Look-up'!$J:$J,0))</f>
        <v>#N/A</v>
      </c>
      <c r="W974" s="276"/>
      <c r="X974" s="276">
        <f t="shared" ca="1" si="139"/>
        <v>0</v>
      </c>
      <c r="Y974" s="276"/>
      <c r="Z974" s="276"/>
      <c r="AB974" s="278" t="str">
        <f t="shared" si="140"/>
        <v/>
      </c>
    </row>
    <row r="975" spans="1:28" s="277" customFormat="1" ht="20.25">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38"/>
        <v/>
      </c>
      <c r="T975" s="225" t="str">
        <f ca="1">IF(B975="","",IF(ISERROR(MATCH($J975,SorP!$B$1:$B$6230,0)),"",INDIRECT("'SorP'!$A$"&amp;MATCH($J975,SorP!$B$1:$B$6230,0))))</f>
        <v/>
      </c>
      <c r="U975" s="241"/>
      <c r="V975" s="275" t="e">
        <f>IF(C975="",NA(),MATCH($B975&amp;$C975,'Smelter Look-up'!$J:$J,0))</f>
        <v>#N/A</v>
      </c>
      <c r="W975" s="276"/>
      <c r="X975" s="276">
        <f t="shared" ca="1" si="139"/>
        <v>0</v>
      </c>
      <c r="Y975" s="276"/>
      <c r="Z975" s="276"/>
      <c r="AB975" s="278" t="str">
        <f t="shared" si="140"/>
        <v/>
      </c>
    </row>
    <row r="976" spans="1:28" s="277" customFormat="1" ht="20.25">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ca="1" si="138"/>
        <v/>
      </c>
      <c r="T976" s="225" t="str">
        <f ca="1">IF(B976="","",IF(ISERROR(MATCH($J976,SorP!$B$1:$B$6230,0)),"",INDIRECT("'SorP'!$A$"&amp;MATCH($J976,SorP!$B$1:$B$6230,0))))</f>
        <v/>
      </c>
      <c r="U976" s="241"/>
      <c r="V976" s="275" t="e">
        <f>IF(C976="",NA(),MATCH($B976&amp;$C976,'Smelter Look-up'!$J:$J,0))</f>
        <v>#N/A</v>
      </c>
      <c r="W976" s="276"/>
      <c r="X976" s="276">
        <f t="shared" ca="1" si="139"/>
        <v>0</v>
      </c>
      <c r="Y976" s="276"/>
      <c r="Z976" s="276"/>
      <c r="AB976" s="278" t="str">
        <f t="shared" si="140"/>
        <v/>
      </c>
    </row>
    <row r="977" spans="1:28" s="277" customFormat="1" ht="20.25">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38"/>
        <v/>
      </c>
      <c r="T977" s="225" t="str">
        <f ca="1">IF(B977="","",IF(ISERROR(MATCH($J977,SorP!$B$1:$B$6230,0)),"",INDIRECT("'SorP'!$A$"&amp;MATCH($J977,SorP!$B$1:$B$6230,0))))</f>
        <v/>
      </c>
      <c r="U977" s="241"/>
      <c r="V977" s="275" t="e">
        <f>IF(C977="",NA(),MATCH($B977&amp;$C977,'Smelter Look-up'!$J:$J,0))</f>
        <v>#N/A</v>
      </c>
      <c r="W977" s="276"/>
      <c r="X977" s="276">
        <f t="shared" ca="1" si="139"/>
        <v>0</v>
      </c>
      <c r="Y977" s="276"/>
      <c r="Z977" s="276"/>
      <c r="AB977" s="278" t="str">
        <f t="shared" si="140"/>
        <v/>
      </c>
    </row>
    <row r="978" spans="1:28" s="277" customFormat="1" ht="20.25">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ca="1" si="138"/>
        <v/>
      </c>
      <c r="T978" s="225" t="str">
        <f ca="1">IF(B978="","",IF(ISERROR(MATCH($J978,SorP!$B$1:$B$6230,0)),"",INDIRECT("'SorP'!$A$"&amp;MATCH($J978,SorP!$B$1:$B$6230,0))))</f>
        <v/>
      </c>
      <c r="U978" s="241"/>
      <c r="V978" s="275" t="e">
        <f>IF(C978="",NA(),MATCH($B978&amp;$C978,'Smelter Look-up'!$J:$J,0))</f>
        <v>#N/A</v>
      </c>
      <c r="W978" s="276"/>
      <c r="X978" s="276">
        <f t="shared" ca="1" si="139"/>
        <v>0</v>
      </c>
      <c r="Y978" s="276"/>
      <c r="Z978" s="276"/>
      <c r="AB978" s="278" t="str">
        <f t="shared" si="140"/>
        <v/>
      </c>
    </row>
    <row r="979" spans="1:28" s="277" customFormat="1" ht="20.25">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38"/>
        <v/>
      </c>
      <c r="T979" s="225" t="str">
        <f ca="1">IF(B979="","",IF(ISERROR(MATCH($J979,SorP!$B$1:$B$6230,0)),"",INDIRECT("'SorP'!$A$"&amp;MATCH($J979,SorP!$B$1:$B$6230,0))))</f>
        <v/>
      </c>
      <c r="U979" s="241"/>
      <c r="V979" s="275" t="e">
        <f>IF(C979="",NA(),MATCH($B979&amp;$C979,'Smelter Look-up'!$J:$J,0))</f>
        <v>#N/A</v>
      </c>
      <c r="W979" s="276"/>
      <c r="X979" s="276">
        <f t="shared" ca="1" si="139"/>
        <v>0</v>
      </c>
      <c r="Y979" s="276"/>
      <c r="Z979" s="276"/>
      <c r="AB979" s="278" t="str">
        <f t="shared" si="140"/>
        <v/>
      </c>
    </row>
    <row r="980" spans="1:28" s="277" customFormat="1" ht="20.25">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38"/>
        <v/>
      </c>
      <c r="T980" s="225" t="str">
        <f ca="1">IF(B980="","",IF(ISERROR(MATCH($J980,SorP!$B$1:$B$6230,0)),"",INDIRECT("'SorP'!$A$"&amp;MATCH($J980,SorP!$B$1:$B$6230,0))))</f>
        <v/>
      </c>
      <c r="U980" s="241"/>
      <c r="V980" s="275" t="e">
        <f>IF(C980="",NA(),MATCH($B980&amp;$C980,'Smelter Look-up'!$J:$J,0))</f>
        <v>#N/A</v>
      </c>
      <c r="W980" s="276"/>
      <c r="X980" s="276">
        <f t="shared" ca="1" si="139"/>
        <v>0</v>
      </c>
      <c r="Y980" s="276"/>
      <c r="Z980" s="276"/>
      <c r="AB980" s="278" t="str">
        <f t="shared" si="140"/>
        <v/>
      </c>
    </row>
    <row r="981" spans="1:28" s="277" customFormat="1" ht="20.25">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38"/>
        <v/>
      </c>
      <c r="T981" s="225" t="str">
        <f ca="1">IF(B981="","",IF(ISERROR(MATCH($J981,SorP!$B$1:$B$6230,0)),"",INDIRECT("'SorP'!$A$"&amp;MATCH($J981,SorP!$B$1:$B$6230,0))))</f>
        <v/>
      </c>
      <c r="U981" s="241"/>
      <c r="V981" s="275" t="e">
        <f>IF(C981="",NA(),MATCH($B981&amp;$C981,'Smelter Look-up'!$J:$J,0))</f>
        <v>#N/A</v>
      </c>
      <c r="W981" s="276"/>
      <c r="X981" s="276">
        <f t="shared" ca="1" si="139"/>
        <v>0</v>
      </c>
      <c r="Y981" s="276"/>
      <c r="Z981" s="276"/>
      <c r="AB981" s="278" t="str">
        <f t="shared" si="140"/>
        <v/>
      </c>
    </row>
    <row r="982" spans="1:28" s="277" customFormat="1" ht="20.25">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38"/>
        <v/>
      </c>
      <c r="T982" s="225" t="str">
        <f ca="1">IF(B982="","",IF(ISERROR(MATCH($J982,SorP!$B$1:$B$6230,0)),"",INDIRECT("'SorP'!$A$"&amp;MATCH($J982,SorP!$B$1:$B$6230,0))))</f>
        <v/>
      </c>
      <c r="U982" s="241"/>
      <c r="V982" s="275" t="e">
        <f>IF(C982="",NA(),MATCH($B982&amp;$C982,'Smelter Look-up'!$J:$J,0))</f>
        <v>#N/A</v>
      </c>
      <c r="W982" s="276"/>
      <c r="X982" s="276">
        <f t="shared" ca="1" si="139"/>
        <v>0</v>
      </c>
      <c r="Y982" s="276"/>
      <c r="Z982" s="276"/>
      <c r="AB982" s="278" t="str">
        <f t="shared" si="140"/>
        <v/>
      </c>
    </row>
    <row r="983" spans="1:28" s="277" customFormat="1" ht="20.25">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38"/>
        <v/>
      </c>
      <c r="T983" s="225" t="str">
        <f ca="1">IF(B983="","",IF(ISERROR(MATCH($J983,SorP!$B$1:$B$6230,0)),"",INDIRECT("'SorP'!$A$"&amp;MATCH($J983,SorP!$B$1:$B$6230,0))))</f>
        <v/>
      </c>
      <c r="U983" s="241"/>
      <c r="V983" s="275" t="e">
        <f>IF(C983="",NA(),MATCH($B983&amp;$C983,'Smelter Look-up'!$J:$J,0))</f>
        <v>#N/A</v>
      </c>
      <c r="W983" s="276"/>
      <c r="X983" s="276">
        <f t="shared" ca="1" si="139"/>
        <v>0</v>
      </c>
      <c r="Y983" s="276"/>
      <c r="Z983" s="276"/>
      <c r="AB983" s="278" t="str">
        <f t="shared" si="140"/>
        <v/>
      </c>
    </row>
    <row r="984" spans="1:28" s="277" customFormat="1" ht="20.25">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38"/>
        <v/>
      </c>
      <c r="T984" s="225" t="str">
        <f ca="1">IF(B984="","",IF(ISERROR(MATCH($J984,SorP!$B$1:$B$6230,0)),"",INDIRECT("'SorP'!$A$"&amp;MATCH($J984,SorP!$B$1:$B$6230,0))))</f>
        <v/>
      </c>
      <c r="U984" s="241"/>
      <c r="V984" s="275" t="e">
        <f>IF(C984="",NA(),MATCH($B984&amp;$C984,'Smelter Look-up'!$J:$J,0))</f>
        <v>#N/A</v>
      </c>
      <c r="W984" s="276"/>
      <c r="X984" s="276">
        <f t="shared" ca="1" si="139"/>
        <v>0</v>
      </c>
      <c r="Y984" s="276"/>
      <c r="Z984" s="276"/>
      <c r="AB984" s="278" t="str">
        <f t="shared" si="140"/>
        <v/>
      </c>
    </row>
    <row r="985" spans="1:28" s="277" customFormat="1" ht="20.25">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38"/>
        <v/>
      </c>
      <c r="T985" s="225" t="str">
        <f ca="1">IF(B985="","",IF(ISERROR(MATCH($J985,SorP!$B$1:$B$6230,0)),"",INDIRECT("'SorP'!$A$"&amp;MATCH($J985,SorP!$B$1:$B$6230,0))))</f>
        <v/>
      </c>
      <c r="U985" s="241"/>
      <c r="V985" s="275" t="e">
        <f>IF(C985="",NA(),MATCH($B985&amp;$C985,'Smelter Look-up'!$J:$J,0))</f>
        <v>#N/A</v>
      </c>
      <c r="W985" s="276"/>
      <c r="X985" s="276">
        <f t="shared" ca="1" si="139"/>
        <v>0</v>
      </c>
      <c r="Y985" s="276"/>
      <c r="Z985" s="276"/>
      <c r="AB985" s="278" t="str">
        <f t="shared" si="140"/>
        <v/>
      </c>
    </row>
    <row r="986" spans="1:28" s="277" customFormat="1" ht="20.25">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38"/>
        <v/>
      </c>
      <c r="T986" s="225" t="str">
        <f ca="1">IF(B986="","",IF(ISERROR(MATCH($J986,SorP!$B$1:$B$6230,0)),"",INDIRECT("'SorP'!$A$"&amp;MATCH($J986,SorP!$B$1:$B$6230,0))))</f>
        <v/>
      </c>
      <c r="U986" s="241"/>
      <c r="V986" s="275" t="e">
        <f>IF(C986="",NA(),MATCH($B986&amp;$C986,'Smelter Look-up'!$J:$J,0))</f>
        <v>#N/A</v>
      </c>
      <c r="W986" s="276"/>
      <c r="X986" s="276">
        <f t="shared" ca="1" si="139"/>
        <v>0</v>
      </c>
      <c r="Y986" s="276"/>
      <c r="Z986" s="276"/>
      <c r="AB986" s="278" t="str">
        <f t="shared" si="140"/>
        <v/>
      </c>
    </row>
    <row r="987" spans="1:28" s="277" customFormat="1" ht="20.25">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ca="1" si="138"/>
        <v/>
      </c>
      <c r="T987" s="225" t="str">
        <f ca="1">IF(B987="","",IF(ISERROR(MATCH($J987,SorP!$B$1:$B$6230,0)),"",INDIRECT("'SorP'!$A$"&amp;MATCH($J987,SorP!$B$1:$B$6230,0))))</f>
        <v/>
      </c>
      <c r="U987" s="241"/>
      <c r="V987" s="275" t="e">
        <f>IF(C987="",NA(),MATCH($B987&amp;$C987,'Smelter Look-up'!$J:$J,0))</f>
        <v>#N/A</v>
      </c>
      <c r="W987" s="276"/>
      <c r="X987" s="276">
        <f t="shared" ca="1" si="139"/>
        <v>0</v>
      </c>
      <c r="Y987" s="276"/>
      <c r="Z987" s="276"/>
      <c r="AB987" s="278" t="str">
        <f t="shared" si="140"/>
        <v/>
      </c>
    </row>
    <row r="988" spans="1:28" s="277" customFormat="1" ht="20.25">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ref="S988:S1018" ca="1" si="141">IF(B988="","",IF(ISERROR(MATCH($E988,CL,0)),"Unknown",INDIRECT("'C'!$A$"&amp;MATCH($E988,CL,0)+1)))</f>
        <v/>
      </c>
      <c r="T988" s="225" t="str">
        <f ca="1">IF(B988="","",IF(ISERROR(MATCH($J988,SorP!$B$1:$B$6230,0)),"",INDIRECT("'SorP'!$A$"&amp;MATCH($J988,SorP!$B$1:$B$6230,0))))</f>
        <v/>
      </c>
      <c r="U988" s="241"/>
      <c r="V988" s="275" t="e">
        <f>IF(C988="",NA(),MATCH($B988&amp;$C988,'Smelter Look-up'!$J:$J,0))</f>
        <v>#N/A</v>
      </c>
      <c r="W988" s="276"/>
      <c r="X988" s="276">
        <f t="shared" ref="X988:X1018" ca="1" si="142">IF(AND(C988="Smelter not listed",OR(LEN(D988)=0,LEN(E988)=0)),1,0)</f>
        <v>0</v>
      </c>
      <c r="Y988" s="276"/>
      <c r="Z988" s="276"/>
      <c r="AB988" s="278" t="str">
        <f t="shared" ref="AB988:AB1018" si="143">B988&amp;C988</f>
        <v/>
      </c>
    </row>
    <row r="989" spans="1:28" s="277" customFormat="1" ht="20.25">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41"/>
        <v/>
      </c>
      <c r="T989" s="225" t="str">
        <f ca="1">IF(B989="","",IF(ISERROR(MATCH($J989,SorP!$B$1:$B$6230,0)),"",INDIRECT("'SorP'!$A$"&amp;MATCH($J989,SorP!$B$1:$B$6230,0))))</f>
        <v/>
      </c>
      <c r="U989" s="241"/>
      <c r="V989" s="275" t="e">
        <f>IF(C989="",NA(),MATCH($B989&amp;$C989,'Smelter Look-up'!$J:$J,0))</f>
        <v>#N/A</v>
      </c>
      <c r="W989" s="276"/>
      <c r="X989" s="276">
        <f t="shared" ca="1" si="142"/>
        <v>0</v>
      </c>
      <c r="Y989" s="276"/>
      <c r="Z989" s="276"/>
      <c r="AB989" s="278" t="str">
        <f t="shared" si="143"/>
        <v/>
      </c>
    </row>
    <row r="990" spans="1:28" s="277" customFormat="1" ht="20.25">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41"/>
        <v/>
      </c>
      <c r="T990" s="225" t="str">
        <f ca="1">IF(B990="","",IF(ISERROR(MATCH($J990,SorP!$B$1:$B$6230,0)),"",INDIRECT("'SorP'!$A$"&amp;MATCH($J990,SorP!$B$1:$B$6230,0))))</f>
        <v/>
      </c>
      <c r="U990" s="241"/>
      <c r="V990" s="275" t="e">
        <f>IF(C990="",NA(),MATCH($B990&amp;$C990,'Smelter Look-up'!$J:$J,0))</f>
        <v>#N/A</v>
      </c>
      <c r="W990" s="276"/>
      <c r="X990" s="276">
        <f t="shared" ca="1" si="142"/>
        <v>0</v>
      </c>
      <c r="Y990" s="276"/>
      <c r="Z990" s="276"/>
      <c r="AB990" s="278" t="str">
        <f t="shared" si="143"/>
        <v/>
      </c>
    </row>
    <row r="991" spans="1:28" s="277" customFormat="1" ht="20.25">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41"/>
        <v/>
      </c>
      <c r="T991" s="225" t="str">
        <f ca="1">IF(B991="","",IF(ISERROR(MATCH($J991,SorP!$B$1:$B$6230,0)),"",INDIRECT("'SorP'!$A$"&amp;MATCH($J991,SorP!$B$1:$B$6230,0))))</f>
        <v/>
      </c>
      <c r="U991" s="241"/>
      <c r="V991" s="275" t="e">
        <f>IF(C991="",NA(),MATCH($B991&amp;$C991,'Smelter Look-up'!$J:$J,0))</f>
        <v>#N/A</v>
      </c>
      <c r="W991" s="276"/>
      <c r="X991" s="276">
        <f t="shared" ca="1" si="142"/>
        <v>0</v>
      </c>
      <c r="Y991" s="276"/>
      <c r="Z991" s="276"/>
      <c r="AB991" s="278" t="str">
        <f t="shared" si="143"/>
        <v/>
      </c>
    </row>
    <row r="992" spans="1:28" s="277" customFormat="1" ht="20.25">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41"/>
        <v/>
      </c>
      <c r="T992" s="225" t="str">
        <f ca="1">IF(B992="","",IF(ISERROR(MATCH($J992,SorP!$B$1:$B$6230,0)),"",INDIRECT("'SorP'!$A$"&amp;MATCH($J992,SorP!$B$1:$B$6230,0))))</f>
        <v/>
      </c>
      <c r="U992" s="241"/>
      <c r="V992" s="275" t="e">
        <f>IF(C992="",NA(),MATCH($B992&amp;$C992,'Smelter Look-up'!$J:$J,0))</f>
        <v>#N/A</v>
      </c>
      <c r="W992" s="276"/>
      <c r="X992" s="276">
        <f t="shared" ca="1" si="142"/>
        <v>0</v>
      </c>
      <c r="Y992" s="276"/>
      <c r="Z992" s="276"/>
      <c r="AB992" s="278" t="str">
        <f t="shared" si="143"/>
        <v/>
      </c>
    </row>
    <row r="993" spans="1:28" s="277" customFormat="1" ht="20.25">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41"/>
        <v/>
      </c>
      <c r="T993" s="225" t="str">
        <f ca="1">IF(B993="","",IF(ISERROR(MATCH($J993,SorP!$B$1:$B$6230,0)),"",INDIRECT("'SorP'!$A$"&amp;MATCH($J993,SorP!$B$1:$B$6230,0))))</f>
        <v/>
      </c>
      <c r="U993" s="241"/>
      <c r="V993" s="275" t="e">
        <f>IF(C993="",NA(),MATCH($B993&amp;$C993,'Smelter Look-up'!$J:$J,0))</f>
        <v>#N/A</v>
      </c>
      <c r="W993" s="276"/>
      <c r="X993" s="276">
        <f t="shared" ca="1" si="142"/>
        <v>0</v>
      </c>
      <c r="Y993" s="276"/>
      <c r="Z993" s="276"/>
      <c r="AB993" s="278" t="str">
        <f t="shared" si="143"/>
        <v/>
      </c>
    </row>
    <row r="994" spans="1:28" s="277" customFormat="1" ht="20.25">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41"/>
        <v/>
      </c>
      <c r="T994" s="225" t="str">
        <f ca="1">IF(B994="","",IF(ISERROR(MATCH($J994,SorP!$B$1:$B$6230,0)),"",INDIRECT("'SorP'!$A$"&amp;MATCH($J994,SorP!$B$1:$B$6230,0))))</f>
        <v/>
      </c>
      <c r="U994" s="241"/>
      <c r="V994" s="275" t="e">
        <f>IF(C994="",NA(),MATCH($B994&amp;$C994,'Smelter Look-up'!$J:$J,0))</f>
        <v>#N/A</v>
      </c>
      <c r="W994" s="276"/>
      <c r="X994" s="276">
        <f t="shared" ca="1" si="142"/>
        <v>0</v>
      </c>
      <c r="Y994" s="276"/>
      <c r="Z994" s="276"/>
      <c r="AB994" s="278" t="str">
        <f t="shared" si="143"/>
        <v/>
      </c>
    </row>
    <row r="995" spans="1:28" s="277" customFormat="1" ht="20.25">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41"/>
        <v/>
      </c>
      <c r="T995" s="225" t="str">
        <f ca="1">IF(B995="","",IF(ISERROR(MATCH($J995,SorP!$B$1:$B$6230,0)),"",INDIRECT("'SorP'!$A$"&amp;MATCH($J995,SorP!$B$1:$B$6230,0))))</f>
        <v/>
      </c>
      <c r="U995" s="241"/>
      <c r="V995" s="275" t="e">
        <f>IF(C995="",NA(),MATCH($B995&amp;$C995,'Smelter Look-up'!$J:$J,0))</f>
        <v>#N/A</v>
      </c>
      <c r="W995" s="276"/>
      <c r="X995" s="276">
        <f t="shared" ca="1" si="142"/>
        <v>0</v>
      </c>
      <c r="Y995" s="276"/>
      <c r="Z995" s="276"/>
      <c r="AB995" s="278" t="str">
        <f t="shared" si="143"/>
        <v/>
      </c>
    </row>
    <row r="996" spans="1:28" s="277" customFormat="1" ht="20.25">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41"/>
        <v/>
      </c>
      <c r="T996" s="225" t="str">
        <f ca="1">IF(B996="","",IF(ISERROR(MATCH($J996,SorP!$B$1:$B$6230,0)),"",INDIRECT("'SorP'!$A$"&amp;MATCH($J996,SorP!$B$1:$B$6230,0))))</f>
        <v/>
      </c>
      <c r="U996" s="241"/>
      <c r="V996" s="275" t="e">
        <f>IF(C996="",NA(),MATCH($B996&amp;$C996,'Smelter Look-up'!$J:$J,0))</f>
        <v>#N/A</v>
      </c>
      <c r="W996" s="276"/>
      <c r="X996" s="276">
        <f t="shared" ca="1" si="142"/>
        <v>0</v>
      </c>
      <c r="Y996" s="276"/>
      <c r="Z996" s="276"/>
      <c r="AB996" s="278" t="str">
        <f t="shared" si="143"/>
        <v/>
      </c>
    </row>
    <row r="997" spans="1:28" s="277" customFormat="1" ht="20.25">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41"/>
        <v/>
      </c>
      <c r="T997" s="225" t="str">
        <f ca="1">IF(B997="","",IF(ISERROR(MATCH($J997,SorP!$B$1:$B$6230,0)),"",INDIRECT("'SorP'!$A$"&amp;MATCH($J997,SorP!$B$1:$B$6230,0))))</f>
        <v/>
      </c>
      <c r="U997" s="241"/>
      <c r="V997" s="275" t="e">
        <f>IF(C997="",NA(),MATCH($B997&amp;$C997,'Smelter Look-up'!$J:$J,0))</f>
        <v>#N/A</v>
      </c>
      <c r="W997" s="276"/>
      <c r="X997" s="276">
        <f t="shared" ca="1" si="142"/>
        <v>0</v>
      </c>
      <c r="Y997" s="276"/>
      <c r="Z997" s="276"/>
      <c r="AB997" s="278" t="str">
        <f t="shared" si="143"/>
        <v/>
      </c>
    </row>
    <row r="998" spans="1:28" s="277" customFormat="1" ht="20.25">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41"/>
        <v/>
      </c>
      <c r="T998" s="225" t="str">
        <f ca="1">IF(B998="","",IF(ISERROR(MATCH($J998,SorP!$B$1:$B$6230,0)),"",INDIRECT("'SorP'!$A$"&amp;MATCH($J998,SorP!$B$1:$B$6230,0))))</f>
        <v/>
      </c>
      <c r="U998" s="241"/>
      <c r="V998" s="275" t="e">
        <f>IF(C998="",NA(),MATCH($B998&amp;$C998,'Smelter Look-up'!$J:$J,0))</f>
        <v>#N/A</v>
      </c>
      <c r="W998" s="276"/>
      <c r="X998" s="276">
        <f t="shared" ca="1" si="142"/>
        <v>0</v>
      </c>
      <c r="Y998" s="276"/>
      <c r="Z998" s="276"/>
      <c r="AB998" s="278" t="str">
        <f t="shared" si="143"/>
        <v/>
      </c>
    </row>
    <row r="999" spans="1:28" s="277" customFormat="1" ht="20.25">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41"/>
        <v/>
      </c>
      <c r="T999" s="225" t="str">
        <f ca="1">IF(B999="","",IF(ISERROR(MATCH($J999,SorP!$B$1:$B$6230,0)),"",INDIRECT("'SorP'!$A$"&amp;MATCH($J999,SorP!$B$1:$B$6230,0))))</f>
        <v/>
      </c>
      <c r="U999" s="241"/>
      <c r="V999" s="275" t="e">
        <f>IF(C999="",NA(),MATCH($B999&amp;$C999,'Smelter Look-up'!$J:$J,0))</f>
        <v>#N/A</v>
      </c>
      <c r="W999" s="276"/>
      <c r="X999" s="276">
        <f t="shared" ca="1" si="142"/>
        <v>0</v>
      </c>
      <c r="Y999" s="276"/>
      <c r="Z999" s="276"/>
      <c r="AB999" s="278" t="str">
        <f t="shared" si="143"/>
        <v/>
      </c>
    </row>
    <row r="1000" spans="1:28" s="277" customFormat="1" ht="20.25">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41"/>
        <v/>
      </c>
      <c r="T1000" s="225" t="str">
        <f ca="1">IF(B1000="","",IF(ISERROR(MATCH($J1000,SorP!$B$1:$B$6230,0)),"",INDIRECT("'SorP'!$A$"&amp;MATCH($J1000,SorP!$B$1:$B$6230,0))))</f>
        <v/>
      </c>
      <c r="U1000" s="241"/>
      <c r="V1000" s="275" t="e">
        <f>IF(C1000="",NA(),MATCH($B1000&amp;$C1000,'Smelter Look-up'!$J:$J,0))</f>
        <v>#N/A</v>
      </c>
      <c r="W1000" s="276"/>
      <c r="X1000" s="276">
        <f t="shared" ca="1" si="142"/>
        <v>0</v>
      </c>
      <c r="Y1000" s="276"/>
      <c r="Z1000" s="276"/>
      <c r="AB1000" s="278" t="str">
        <f t="shared" si="143"/>
        <v/>
      </c>
    </row>
    <row r="1001" spans="1:28" s="277" customFormat="1" ht="20.25">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41"/>
        <v/>
      </c>
      <c r="T1001" s="225" t="str">
        <f ca="1">IF(B1001="","",IF(ISERROR(MATCH($J1001,SorP!$B$1:$B$6230,0)),"",INDIRECT("'SorP'!$A$"&amp;MATCH($J1001,SorP!$B$1:$B$6230,0))))</f>
        <v/>
      </c>
      <c r="U1001" s="241"/>
      <c r="V1001" s="275" t="e">
        <f>IF(C1001="",NA(),MATCH($B1001&amp;$C1001,'Smelter Look-up'!$J:$J,0))</f>
        <v>#N/A</v>
      </c>
      <c r="W1001" s="276"/>
      <c r="X1001" s="276">
        <f t="shared" ca="1" si="142"/>
        <v>0</v>
      </c>
      <c r="Y1001" s="276"/>
      <c r="Z1001" s="276"/>
      <c r="AB1001" s="278" t="str">
        <f t="shared" si="143"/>
        <v/>
      </c>
    </row>
    <row r="1002" spans="1:28" s="277" customFormat="1" ht="20.25">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41"/>
        <v/>
      </c>
      <c r="T1002" s="225" t="str">
        <f ca="1">IF(B1002="","",IF(ISERROR(MATCH($J1002,SorP!$B$1:$B$6230,0)),"",INDIRECT("'SorP'!$A$"&amp;MATCH($J1002,SorP!$B$1:$B$6230,0))))</f>
        <v/>
      </c>
      <c r="U1002" s="241"/>
      <c r="V1002" s="275" t="e">
        <f>IF(C1002="",NA(),MATCH($B1002&amp;$C1002,'Smelter Look-up'!$J:$J,0))</f>
        <v>#N/A</v>
      </c>
      <c r="W1002" s="276"/>
      <c r="X1002" s="276">
        <f t="shared" ca="1" si="142"/>
        <v>0</v>
      </c>
      <c r="Y1002" s="276"/>
      <c r="Z1002" s="276"/>
      <c r="AB1002" s="278" t="str">
        <f t="shared" si="143"/>
        <v/>
      </c>
    </row>
    <row r="1003" spans="1:28" s="277" customFormat="1" ht="20.25">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41"/>
        <v/>
      </c>
      <c r="T1003" s="225" t="str">
        <f ca="1">IF(B1003="","",IF(ISERROR(MATCH($J1003,SorP!$B$1:$B$6230,0)),"",INDIRECT("'SorP'!$A$"&amp;MATCH($J1003,SorP!$B$1:$B$6230,0))))</f>
        <v/>
      </c>
      <c r="U1003" s="241"/>
      <c r="V1003" s="275" t="e">
        <f>IF(C1003="",NA(),MATCH($B1003&amp;$C1003,'Smelter Look-up'!$J:$J,0))</f>
        <v>#N/A</v>
      </c>
      <c r="W1003" s="276"/>
      <c r="X1003" s="276">
        <f t="shared" ca="1" si="142"/>
        <v>0</v>
      </c>
      <c r="Y1003" s="276"/>
      <c r="Z1003" s="276"/>
      <c r="AB1003" s="278" t="str">
        <f t="shared" si="143"/>
        <v/>
      </c>
    </row>
    <row r="1004" spans="1:28" s="277" customFormat="1" ht="20.25">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41"/>
        <v/>
      </c>
      <c r="T1004" s="225" t="str">
        <f ca="1">IF(B1004="","",IF(ISERROR(MATCH($J1004,SorP!$B$1:$B$6230,0)),"",INDIRECT("'SorP'!$A$"&amp;MATCH($J1004,SorP!$B$1:$B$6230,0))))</f>
        <v/>
      </c>
      <c r="U1004" s="241"/>
      <c r="V1004" s="275" t="e">
        <f>IF(C1004="",NA(),MATCH($B1004&amp;$C1004,'Smelter Look-up'!$J:$J,0))</f>
        <v>#N/A</v>
      </c>
      <c r="W1004" s="276"/>
      <c r="X1004" s="276">
        <f t="shared" ca="1" si="142"/>
        <v>0</v>
      </c>
      <c r="Y1004" s="276"/>
      <c r="Z1004" s="276"/>
      <c r="AB1004" s="278" t="str">
        <f t="shared" si="143"/>
        <v/>
      </c>
    </row>
    <row r="1005" spans="1:28" s="277" customFormat="1" ht="20.25">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41"/>
        <v/>
      </c>
      <c r="T1005" s="225" t="str">
        <f ca="1">IF(B1005="","",IF(ISERROR(MATCH($J1005,SorP!$B$1:$B$6230,0)),"",INDIRECT("'SorP'!$A$"&amp;MATCH($J1005,SorP!$B$1:$B$6230,0))))</f>
        <v/>
      </c>
      <c r="U1005" s="241"/>
      <c r="V1005" s="275" t="e">
        <f>IF(C1005="",NA(),MATCH($B1005&amp;$C1005,'Smelter Look-up'!$J:$J,0))</f>
        <v>#N/A</v>
      </c>
      <c r="W1005" s="276"/>
      <c r="X1005" s="276">
        <f t="shared" ca="1" si="142"/>
        <v>0</v>
      </c>
      <c r="Y1005" s="276"/>
      <c r="Z1005" s="276"/>
      <c r="AB1005" s="278" t="str">
        <f t="shared" si="143"/>
        <v/>
      </c>
    </row>
    <row r="1006" spans="1:28" s="277" customFormat="1" ht="20.25">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41"/>
        <v/>
      </c>
      <c r="T1006" s="225" t="str">
        <f ca="1">IF(B1006="","",IF(ISERROR(MATCH($J1006,SorP!$B$1:$B$6230,0)),"",INDIRECT("'SorP'!$A$"&amp;MATCH($J1006,SorP!$B$1:$B$6230,0))))</f>
        <v/>
      </c>
      <c r="U1006" s="241"/>
      <c r="V1006" s="275" t="e">
        <f>IF(C1006="",NA(),MATCH($B1006&amp;$C1006,'Smelter Look-up'!$J:$J,0))</f>
        <v>#N/A</v>
      </c>
      <c r="W1006" s="276"/>
      <c r="X1006" s="276">
        <f t="shared" ca="1" si="142"/>
        <v>0</v>
      </c>
      <c r="Y1006" s="276"/>
      <c r="Z1006" s="276"/>
      <c r="AB1006" s="278" t="str">
        <f t="shared" si="143"/>
        <v/>
      </c>
    </row>
    <row r="1007" spans="1:28" s="277" customFormat="1" ht="20.25">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ca="1" si="141"/>
        <v/>
      </c>
      <c r="T1007" s="225" t="str">
        <f ca="1">IF(B1007="","",IF(ISERROR(MATCH($J1007,SorP!$B$1:$B$6230,0)),"",INDIRECT("'SorP'!$A$"&amp;MATCH($J1007,SorP!$B$1:$B$6230,0))))</f>
        <v/>
      </c>
      <c r="U1007" s="241"/>
      <c r="V1007" s="275" t="e">
        <f>IF(C1007="",NA(),MATCH($B1007&amp;$C1007,'Smelter Look-up'!$J:$J,0))</f>
        <v>#N/A</v>
      </c>
      <c r="W1007" s="276"/>
      <c r="X1007" s="276">
        <f t="shared" ca="1" si="142"/>
        <v>0</v>
      </c>
      <c r="Y1007" s="276"/>
      <c r="Z1007" s="276"/>
      <c r="AB1007" s="278" t="str">
        <f t="shared" si="143"/>
        <v/>
      </c>
    </row>
    <row r="1008" spans="1:28" s="277" customFormat="1" ht="20.25">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ca="1" si="141"/>
        <v/>
      </c>
      <c r="T1008" s="225" t="str">
        <f ca="1">IF(B1008="","",IF(ISERROR(MATCH($J1008,SorP!$B$1:$B$6230,0)),"",INDIRECT("'SorP'!$A$"&amp;MATCH($J1008,SorP!$B$1:$B$6230,0))))</f>
        <v/>
      </c>
      <c r="U1008" s="241"/>
      <c r="V1008" s="275" t="e">
        <f>IF(C1008="",NA(),MATCH($B1008&amp;$C1008,'Smelter Look-up'!$J:$J,0))</f>
        <v>#N/A</v>
      </c>
      <c r="W1008" s="276"/>
      <c r="X1008" s="276">
        <f t="shared" ca="1" si="142"/>
        <v>0</v>
      </c>
      <c r="Y1008" s="276"/>
      <c r="Z1008" s="276"/>
      <c r="AB1008" s="278" t="str">
        <f t="shared" si="143"/>
        <v/>
      </c>
    </row>
    <row r="1009" spans="1:28" s="277" customFormat="1" ht="20.25">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ca="1" si="141"/>
        <v/>
      </c>
      <c r="T1009" s="225" t="str">
        <f ca="1">IF(B1009="","",IF(ISERROR(MATCH($J1009,SorP!$B$1:$B$6230,0)),"",INDIRECT("'SorP'!$A$"&amp;MATCH($J1009,SorP!$B$1:$B$6230,0))))</f>
        <v/>
      </c>
      <c r="U1009" s="241"/>
      <c r="V1009" s="275" t="e">
        <f>IF(C1009="",NA(),MATCH($B1009&amp;$C1009,'Smelter Look-up'!$J:$J,0))</f>
        <v>#N/A</v>
      </c>
      <c r="W1009" s="276"/>
      <c r="X1009" s="276">
        <f t="shared" ca="1" si="142"/>
        <v>0</v>
      </c>
      <c r="Y1009" s="276"/>
      <c r="Z1009" s="276"/>
      <c r="AB1009" s="278" t="str">
        <f t="shared" si="143"/>
        <v/>
      </c>
    </row>
    <row r="1010" spans="1:28" s="277" customFormat="1" ht="20.25">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ca="1" si="141"/>
        <v/>
      </c>
      <c r="T1010" s="225" t="str">
        <f ca="1">IF(B1010="","",IF(ISERROR(MATCH($J1010,SorP!$B$1:$B$6230,0)),"",INDIRECT("'SorP'!$A$"&amp;MATCH($J1010,SorP!$B$1:$B$6230,0))))</f>
        <v/>
      </c>
      <c r="U1010" s="241"/>
      <c r="V1010" s="275" t="e">
        <f>IF(C1010="",NA(),MATCH($B1010&amp;$C1010,'Smelter Look-up'!$J:$J,0))</f>
        <v>#N/A</v>
      </c>
      <c r="W1010" s="276"/>
      <c r="X1010" s="276">
        <f t="shared" ca="1" si="142"/>
        <v>0</v>
      </c>
      <c r="Y1010" s="276"/>
      <c r="Z1010" s="276"/>
      <c r="AB1010" s="278" t="str">
        <f t="shared" si="143"/>
        <v/>
      </c>
    </row>
    <row r="1011" spans="1:28" s="277" customFormat="1" ht="20.25">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41"/>
        <v/>
      </c>
      <c r="T1011" s="225" t="str">
        <f ca="1">IF(B1011="","",IF(ISERROR(MATCH($J1011,SorP!$B$1:$B$6230,0)),"",INDIRECT("'SorP'!$A$"&amp;MATCH($J1011,SorP!$B$1:$B$6230,0))))</f>
        <v/>
      </c>
      <c r="U1011" s="241"/>
      <c r="V1011" s="275" t="e">
        <f>IF(C1011="",NA(),MATCH($B1011&amp;$C1011,'Smelter Look-up'!$J:$J,0))</f>
        <v>#N/A</v>
      </c>
      <c r="W1011" s="276"/>
      <c r="X1011" s="276">
        <f t="shared" ca="1" si="142"/>
        <v>0</v>
      </c>
      <c r="Y1011" s="276"/>
      <c r="Z1011" s="276"/>
      <c r="AB1011" s="278" t="str">
        <f t="shared" si="143"/>
        <v/>
      </c>
    </row>
    <row r="1012" spans="1:28" s="277" customFormat="1" ht="20.25">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41"/>
        <v/>
      </c>
      <c r="T1012" s="225" t="str">
        <f ca="1">IF(B1012="","",IF(ISERROR(MATCH($J1012,SorP!$B$1:$B$6230,0)),"",INDIRECT("'SorP'!$A$"&amp;MATCH($J1012,SorP!$B$1:$B$6230,0))))</f>
        <v/>
      </c>
      <c r="U1012" s="241"/>
      <c r="V1012" s="275" t="e">
        <f>IF(C1012="",NA(),MATCH($B1012&amp;$C1012,'Smelter Look-up'!$J:$J,0))</f>
        <v>#N/A</v>
      </c>
      <c r="W1012" s="276"/>
      <c r="X1012" s="276">
        <f t="shared" ca="1" si="142"/>
        <v>0</v>
      </c>
      <c r="Y1012" s="276"/>
      <c r="Z1012" s="276"/>
      <c r="AB1012" s="278" t="str">
        <f t="shared" si="143"/>
        <v/>
      </c>
    </row>
    <row r="1013" spans="1:28" s="277" customFormat="1" ht="20.25">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41"/>
        <v/>
      </c>
      <c r="T1013" s="225" t="str">
        <f ca="1">IF(B1013="","",IF(ISERROR(MATCH($J1013,SorP!$B$1:$B$6230,0)),"",INDIRECT("'SorP'!$A$"&amp;MATCH($J1013,SorP!$B$1:$B$6230,0))))</f>
        <v/>
      </c>
      <c r="U1013" s="241"/>
      <c r="V1013" s="275" t="e">
        <f>IF(C1013="",NA(),MATCH($B1013&amp;$C1013,'Smelter Look-up'!$J:$J,0))</f>
        <v>#N/A</v>
      </c>
      <c r="W1013" s="276"/>
      <c r="X1013" s="276">
        <f t="shared" ca="1" si="142"/>
        <v>0</v>
      </c>
      <c r="Y1013" s="276"/>
      <c r="Z1013" s="276"/>
      <c r="AB1013" s="278" t="str">
        <f t="shared" si="143"/>
        <v/>
      </c>
    </row>
    <row r="1014" spans="1:28" s="277" customFormat="1" ht="20.25">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41"/>
        <v/>
      </c>
      <c r="T1014" s="225" t="str">
        <f ca="1">IF(B1014="","",IF(ISERROR(MATCH($J1014,SorP!$B$1:$B$6230,0)),"",INDIRECT("'SorP'!$A$"&amp;MATCH($J1014,SorP!$B$1:$B$6230,0))))</f>
        <v/>
      </c>
      <c r="U1014" s="241"/>
      <c r="V1014" s="275" t="e">
        <f>IF(C1014="",NA(),MATCH($B1014&amp;$C1014,'Smelter Look-up'!$J:$J,0))</f>
        <v>#N/A</v>
      </c>
      <c r="W1014" s="276"/>
      <c r="X1014" s="276">
        <f t="shared" ca="1" si="142"/>
        <v>0</v>
      </c>
      <c r="Y1014" s="276"/>
      <c r="Z1014" s="276"/>
      <c r="AB1014" s="278" t="str">
        <f t="shared" si="143"/>
        <v/>
      </c>
    </row>
    <row r="1015" spans="1:28" s="277" customFormat="1" ht="20.25">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41"/>
        <v/>
      </c>
      <c r="T1015" s="225" t="str">
        <f ca="1">IF(B1015="","",IF(ISERROR(MATCH($J1015,SorP!$B$1:$B$6230,0)),"",INDIRECT("'SorP'!$A$"&amp;MATCH($J1015,SorP!$B$1:$B$6230,0))))</f>
        <v/>
      </c>
      <c r="U1015" s="241"/>
      <c r="V1015" s="275" t="e">
        <f>IF(C1015="",NA(),MATCH($B1015&amp;$C1015,'Smelter Look-up'!$J:$J,0))</f>
        <v>#N/A</v>
      </c>
      <c r="W1015" s="276"/>
      <c r="X1015" s="276">
        <f t="shared" ca="1" si="142"/>
        <v>0</v>
      </c>
      <c r="Y1015" s="276"/>
      <c r="Z1015" s="276"/>
      <c r="AB1015" s="278" t="str">
        <f t="shared" si="143"/>
        <v/>
      </c>
    </row>
    <row r="1016" spans="1:28" s="277" customFormat="1" ht="20.25">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41"/>
        <v/>
      </c>
      <c r="T1016" s="225" t="str">
        <f ca="1">IF(B1016="","",IF(ISERROR(MATCH($J1016,SorP!$B$1:$B$6230,0)),"",INDIRECT("'SorP'!$A$"&amp;MATCH($J1016,SorP!$B$1:$B$6230,0))))</f>
        <v/>
      </c>
      <c r="U1016" s="241"/>
      <c r="V1016" s="275" t="e">
        <f>IF(C1016="",NA(),MATCH($B1016&amp;$C1016,'Smelter Look-up'!$J:$J,0))</f>
        <v>#N/A</v>
      </c>
      <c r="W1016" s="276"/>
      <c r="X1016" s="276">
        <f t="shared" ca="1" si="142"/>
        <v>0</v>
      </c>
      <c r="Y1016" s="276"/>
      <c r="Z1016" s="276"/>
      <c r="AB1016" s="278" t="str">
        <f t="shared" si="143"/>
        <v/>
      </c>
    </row>
    <row r="1017" spans="1:28" s="277" customFormat="1" ht="20.25">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41"/>
        <v/>
      </c>
      <c r="T1017" s="225" t="str">
        <f ca="1">IF(B1017="","",IF(ISERROR(MATCH($J1017,SorP!$B$1:$B$6230,0)),"",INDIRECT("'SorP'!$A$"&amp;MATCH($J1017,SorP!$B$1:$B$6230,0))))</f>
        <v/>
      </c>
      <c r="U1017" s="241"/>
      <c r="V1017" s="275" t="e">
        <f>IF(C1017="",NA(),MATCH($B1017&amp;$C1017,'Smelter Look-up'!$J:$J,0))</f>
        <v>#N/A</v>
      </c>
      <c r="W1017" s="276"/>
      <c r="X1017" s="276">
        <f t="shared" ca="1" si="142"/>
        <v>0</v>
      </c>
      <c r="Y1017" s="276"/>
      <c r="Z1017" s="276"/>
      <c r="AB1017" s="278" t="str">
        <f t="shared" si="143"/>
        <v/>
      </c>
    </row>
    <row r="1018" spans="1:28" s="277" customFormat="1" ht="20.25">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ca="1" si="141"/>
        <v/>
      </c>
      <c r="T1018" s="225" t="str">
        <f ca="1">IF(B1018="","",IF(ISERROR(MATCH($J1018,SorP!$B$1:$B$6230,0)),"",INDIRECT("'SorP'!$A$"&amp;MATCH($J1018,SorP!$B$1:$B$6230,0))))</f>
        <v/>
      </c>
      <c r="U1018" s="241"/>
      <c r="V1018" s="275" t="e">
        <f>IF(C1018="",NA(),MATCH($B1018&amp;$C1018,'Smelter Look-up'!$J:$J,0))</f>
        <v>#N/A</v>
      </c>
      <c r="W1018" s="276"/>
      <c r="X1018" s="276">
        <f t="shared" ca="1" si="142"/>
        <v>0</v>
      </c>
      <c r="Y1018" s="276"/>
      <c r="Z1018" s="276"/>
      <c r="AB1018" s="278" t="str">
        <f t="shared" si="143"/>
        <v/>
      </c>
    </row>
    <row r="1019" spans="1:28" s="277" customFormat="1" ht="20.25">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ref="S1019" ca="1" si="144">IF(B1019="","",IF(ISERROR(MATCH($E1019,CL,0)),"Unknown",INDIRECT("'C'!$A$"&amp;MATCH($E1019,CL,0)+1)))</f>
        <v/>
      </c>
      <c r="T1019" s="225" t="str">
        <f ca="1">IF(B1019="","",IF(ISERROR(MATCH($J1019,SorP!$B$1:$B$6230,0)),"",INDIRECT("'SorP'!$A$"&amp;MATCH($J1019,SorP!$B$1:$B$6230,0))))</f>
        <v/>
      </c>
      <c r="U1019" s="241"/>
      <c r="V1019" s="275" t="e">
        <f>IF(C1019="",NA(),MATCH($B1019&amp;$C1019,'Smelter Look-up'!$J:$J,0))</f>
        <v>#N/A</v>
      </c>
      <c r="W1019" s="276"/>
      <c r="X1019" s="276">
        <f t="shared" ref="X1019" ca="1" si="145">IF(AND(C1019="Smelter not listed",OR(LEN(D1019)=0,LEN(E1019)=0)),1,0)</f>
        <v>0</v>
      </c>
      <c r="Y1019" s="276"/>
      <c r="Z1019" s="276"/>
      <c r="AB1019" s="278" t="str">
        <f t="shared" ref="AB1019" si="146">B1019&amp;C1019</f>
        <v/>
      </c>
    </row>
    <row r="1020" spans="1:28" s="277" customFormat="1" ht="20.25">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ref="S1020:S1051" ca="1" si="147">IF(B1020="","",IF(ISERROR(MATCH($E1020,CL,0)),"Unknown",INDIRECT("'C'!$A$"&amp;MATCH($E1020,CL,0)+1)))</f>
        <v/>
      </c>
      <c r="T1020" s="225" t="str">
        <f ca="1">IF(B1020="","",IF(ISERROR(MATCH($J1020,SorP!$B$1:$B$6230,0)),"",INDIRECT("'SorP'!$A$"&amp;MATCH($J1020,SorP!$B$1:$B$6230,0))))</f>
        <v/>
      </c>
      <c r="U1020" s="241"/>
      <c r="V1020" s="275" t="e">
        <f>IF(C1020="",NA(),MATCH($B1020&amp;$C1020,'Smelter Look-up'!$J:$J,0))</f>
        <v>#N/A</v>
      </c>
      <c r="W1020" s="276"/>
      <c r="X1020" s="276">
        <f t="shared" ref="X1020:X1051" ca="1" si="148">IF(AND(C1020="Smelter not listed",OR(LEN(D1020)=0,LEN(E1020)=0)),1,0)</f>
        <v>0</v>
      </c>
      <c r="Y1020" s="276"/>
      <c r="Z1020" s="276"/>
      <c r="AB1020" s="278" t="str">
        <f t="shared" ref="AB1020:AB1051" si="149">B1020&amp;C1020</f>
        <v/>
      </c>
    </row>
    <row r="1021" spans="1:28" s="277" customFormat="1" ht="20.25">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47"/>
        <v/>
      </c>
      <c r="T1021" s="225" t="str">
        <f ca="1">IF(B1021="","",IF(ISERROR(MATCH($J1021,SorP!$B$1:$B$6230,0)),"",INDIRECT("'SorP'!$A$"&amp;MATCH($J1021,SorP!$B$1:$B$6230,0))))</f>
        <v/>
      </c>
      <c r="U1021" s="241"/>
      <c r="V1021" s="275" t="e">
        <f>IF(C1021="",NA(),MATCH($B1021&amp;$C1021,'Smelter Look-up'!$J:$J,0))</f>
        <v>#N/A</v>
      </c>
      <c r="W1021" s="276"/>
      <c r="X1021" s="276">
        <f t="shared" ca="1" si="148"/>
        <v>0</v>
      </c>
      <c r="Y1021" s="276"/>
      <c r="Z1021" s="276"/>
      <c r="AB1021" s="278" t="str">
        <f t="shared" si="149"/>
        <v/>
      </c>
    </row>
    <row r="1022" spans="1:28" s="277" customFormat="1" ht="20.25">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47"/>
        <v/>
      </c>
      <c r="T1022" s="225" t="str">
        <f ca="1">IF(B1022="","",IF(ISERROR(MATCH($J1022,SorP!$B$1:$B$6230,0)),"",INDIRECT("'SorP'!$A$"&amp;MATCH($J1022,SorP!$B$1:$B$6230,0))))</f>
        <v/>
      </c>
      <c r="U1022" s="241"/>
      <c r="V1022" s="275" t="e">
        <f>IF(C1022="",NA(),MATCH($B1022&amp;$C1022,'Smelter Look-up'!$J:$J,0))</f>
        <v>#N/A</v>
      </c>
      <c r="W1022" s="276"/>
      <c r="X1022" s="276">
        <f t="shared" ca="1" si="148"/>
        <v>0</v>
      </c>
      <c r="Y1022" s="276"/>
      <c r="Z1022" s="276"/>
      <c r="AB1022" s="278" t="str">
        <f t="shared" si="149"/>
        <v/>
      </c>
    </row>
    <row r="1023" spans="1:28" s="277" customFormat="1" ht="20.25">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47"/>
        <v/>
      </c>
      <c r="T1023" s="225" t="str">
        <f ca="1">IF(B1023="","",IF(ISERROR(MATCH($J1023,SorP!$B$1:$B$6230,0)),"",INDIRECT("'SorP'!$A$"&amp;MATCH($J1023,SorP!$B$1:$B$6230,0))))</f>
        <v/>
      </c>
      <c r="U1023" s="241"/>
      <c r="V1023" s="275" t="e">
        <f>IF(C1023="",NA(),MATCH($B1023&amp;$C1023,'Smelter Look-up'!$J:$J,0))</f>
        <v>#N/A</v>
      </c>
      <c r="W1023" s="276"/>
      <c r="X1023" s="276">
        <f t="shared" ca="1" si="148"/>
        <v>0</v>
      </c>
      <c r="Y1023" s="276"/>
      <c r="Z1023" s="276"/>
      <c r="AB1023" s="278" t="str">
        <f t="shared" si="149"/>
        <v/>
      </c>
    </row>
    <row r="1024" spans="1:28" s="277" customFormat="1" ht="20.25">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47"/>
        <v/>
      </c>
      <c r="T1024" s="225" t="str">
        <f ca="1">IF(B1024="","",IF(ISERROR(MATCH($J1024,SorP!$B$1:$B$6230,0)),"",INDIRECT("'SorP'!$A$"&amp;MATCH($J1024,SorP!$B$1:$B$6230,0))))</f>
        <v/>
      </c>
      <c r="U1024" s="241"/>
      <c r="V1024" s="275" t="e">
        <f>IF(C1024="",NA(),MATCH($B1024&amp;$C1024,'Smelter Look-up'!$J:$J,0))</f>
        <v>#N/A</v>
      </c>
      <c r="W1024" s="276"/>
      <c r="X1024" s="276">
        <f t="shared" ca="1" si="148"/>
        <v>0</v>
      </c>
      <c r="Y1024" s="276"/>
      <c r="Z1024" s="276"/>
      <c r="AB1024" s="278" t="str">
        <f t="shared" si="149"/>
        <v/>
      </c>
    </row>
    <row r="1025" spans="1:28" s="277" customFormat="1" ht="20.25">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47"/>
        <v/>
      </c>
      <c r="T1025" s="225" t="str">
        <f ca="1">IF(B1025="","",IF(ISERROR(MATCH($J1025,SorP!$B$1:$B$6230,0)),"",INDIRECT("'SorP'!$A$"&amp;MATCH($J1025,SorP!$B$1:$B$6230,0))))</f>
        <v/>
      </c>
      <c r="U1025" s="241"/>
      <c r="V1025" s="275" t="e">
        <f>IF(C1025="",NA(),MATCH($B1025&amp;$C1025,'Smelter Look-up'!$J:$J,0))</f>
        <v>#N/A</v>
      </c>
      <c r="W1025" s="276"/>
      <c r="X1025" s="276">
        <f t="shared" ca="1" si="148"/>
        <v>0</v>
      </c>
      <c r="Y1025" s="276"/>
      <c r="Z1025" s="276"/>
      <c r="AB1025" s="278" t="str">
        <f t="shared" si="149"/>
        <v/>
      </c>
    </row>
    <row r="1026" spans="1:28" s="277" customFormat="1" ht="20.25">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47"/>
        <v/>
      </c>
      <c r="T1026" s="225" t="str">
        <f ca="1">IF(B1026="","",IF(ISERROR(MATCH($J1026,SorP!$B$1:$B$6230,0)),"",INDIRECT("'SorP'!$A$"&amp;MATCH($J1026,SorP!$B$1:$B$6230,0))))</f>
        <v/>
      </c>
      <c r="U1026" s="241"/>
      <c r="V1026" s="275" t="e">
        <f>IF(C1026="",NA(),MATCH($B1026&amp;$C1026,'Smelter Look-up'!$J:$J,0))</f>
        <v>#N/A</v>
      </c>
      <c r="W1026" s="276"/>
      <c r="X1026" s="276">
        <f t="shared" ca="1" si="148"/>
        <v>0</v>
      </c>
      <c r="Y1026" s="276"/>
      <c r="Z1026" s="276"/>
      <c r="AB1026" s="278" t="str">
        <f t="shared" si="149"/>
        <v/>
      </c>
    </row>
    <row r="1027" spans="1:28" s="277" customFormat="1" ht="20.25">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47"/>
        <v/>
      </c>
      <c r="T1027" s="225" t="str">
        <f ca="1">IF(B1027="","",IF(ISERROR(MATCH($J1027,SorP!$B$1:$B$6230,0)),"",INDIRECT("'SorP'!$A$"&amp;MATCH($J1027,SorP!$B$1:$B$6230,0))))</f>
        <v/>
      </c>
      <c r="U1027" s="241"/>
      <c r="V1027" s="275" t="e">
        <f>IF(C1027="",NA(),MATCH($B1027&amp;$C1027,'Smelter Look-up'!$J:$J,0))</f>
        <v>#N/A</v>
      </c>
      <c r="W1027" s="276"/>
      <c r="X1027" s="276">
        <f t="shared" ca="1" si="148"/>
        <v>0</v>
      </c>
      <c r="Y1027" s="276"/>
      <c r="Z1027" s="276"/>
      <c r="AB1027" s="278" t="str">
        <f t="shared" si="149"/>
        <v/>
      </c>
    </row>
    <row r="1028" spans="1:28" s="277" customFormat="1" ht="20.25">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47"/>
        <v/>
      </c>
      <c r="T1028" s="225" t="str">
        <f ca="1">IF(B1028="","",IF(ISERROR(MATCH($J1028,SorP!$B$1:$B$6230,0)),"",INDIRECT("'SorP'!$A$"&amp;MATCH($J1028,SorP!$B$1:$B$6230,0))))</f>
        <v/>
      </c>
      <c r="U1028" s="241"/>
      <c r="V1028" s="275" t="e">
        <f>IF(C1028="",NA(),MATCH($B1028&amp;$C1028,'Smelter Look-up'!$J:$J,0))</f>
        <v>#N/A</v>
      </c>
      <c r="W1028" s="276"/>
      <c r="X1028" s="276">
        <f t="shared" ca="1" si="148"/>
        <v>0</v>
      </c>
      <c r="Y1028" s="276"/>
      <c r="Z1028" s="276"/>
      <c r="AB1028" s="278" t="str">
        <f t="shared" si="149"/>
        <v/>
      </c>
    </row>
    <row r="1029" spans="1:28" s="277" customFormat="1" ht="20.25">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47"/>
        <v/>
      </c>
      <c r="T1029" s="225" t="str">
        <f ca="1">IF(B1029="","",IF(ISERROR(MATCH($J1029,SorP!$B$1:$B$6230,0)),"",INDIRECT("'SorP'!$A$"&amp;MATCH($J1029,SorP!$B$1:$B$6230,0))))</f>
        <v/>
      </c>
      <c r="U1029" s="241"/>
      <c r="V1029" s="275" t="e">
        <f>IF(C1029="",NA(),MATCH($B1029&amp;$C1029,'Smelter Look-up'!$J:$J,0))</f>
        <v>#N/A</v>
      </c>
      <c r="W1029" s="276"/>
      <c r="X1029" s="276">
        <f t="shared" ca="1" si="148"/>
        <v>0</v>
      </c>
      <c r="Y1029" s="276"/>
      <c r="Z1029" s="276"/>
      <c r="AB1029" s="278" t="str">
        <f t="shared" si="149"/>
        <v/>
      </c>
    </row>
    <row r="1030" spans="1:28" s="277" customFormat="1" ht="20.25">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47"/>
        <v/>
      </c>
      <c r="T1030" s="225" t="str">
        <f ca="1">IF(B1030="","",IF(ISERROR(MATCH($J1030,SorP!$B$1:$B$6230,0)),"",INDIRECT("'SorP'!$A$"&amp;MATCH($J1030,SorP!$B$1:$B$6230,0))))</f>
        <v/>
      </c>
      <c r="U1030" s="241"/>
      <c r="V1030" s="275" t="e">
        <f>IF(C1030="",NA(),MATCH($B1030&amp;$C1030,'Smelter Look-up'!$J:$J,0))</f>
        <v>#N/A</v>
      </c>
      <c r="W1030" s="276"/>
      <c r="X1030" s="276">
        <f t="shared" ca="1" si="148"/>
        <v>0</v>
      </c>
      <c r="Y1030" s="276"/>
      <c r="Z1030" s="276"/>
      <c r="AB1030" s="278" t="str">
        <f t="shared" si="149"/>
        <v/>
      </c>
    </row>
    <row r="1031" spans="1:28" s="277" customFormat="1" ht="20.25">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47"/>
        <v/>
      </c>
      <c r="T1031" s="225" t="str">
        <f ca="1">IF(B1031="","",IF(ISERROR(MATCH($J1031,SorP!$B$1:$B$6230,0)),"",INDIRECT("'SorP'!$A$"&amp;MATCH($J1031,SorP!$B$1:$B$6230,0))))</f>
        <v/>
      </c>
      <c r="U1031" s="241"/>
      <c r="V1031" s="275" t="e">
        <f>IF(C1031="",NA(),MATCH($B1031&amp;$C1031,'Smelter Look-up'!$J:$J,0))</f>
        <v>#N/A</v>
      </c>
      <c r="W1031" s="276"/>
      <c r="X1031" s="276">
        <f t="shared" ca="1" si="148"/>
        <v>0</v>
      </c>
      <c r="Y1031" s="276"/>
      <c r="Z1031" s="276"/>
      <c r="AB1031" s="278" t="str">
        <f t="shared" si="149"/>
        <v/>
      </c>
    </row>
    <row r="1032" spans="1:28" s="277" customFormat="1" ht="20.25">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47"/>
        <v/>
      </c>
      <c r="T1032" s="225" t="str">
        <f ca="1">IF(B1032="","",IF(ISERROR(MATCH($J1032,SorP!$B$1:$B$6230,0)),"",INDIRECT("'SorP'!$A$"&amp;MATCH($J1032,SorP!$B$1:$B$6230,0))))</f>
        <v/>
      </c>
      <c r="U1032" s="241"/>
      <c r="V1032" s="275" t="e">
        <f>IF(C1032="",NA(),MATCH($B1032&amp;$C1032,'Smelter Look-up'!$J:$J,0))</f>
        <v>#N/A</v>
      </c>
      <c r="W1032" s="276"/>
      <c r="X1032" s="276">
        <f t="shared" ca="1" si="148"/>
        <v>0</v>
      </c>
      <c r="Y1032" s="276"/>
      <c r="Z1032" s="276"/>
      <c r="AB1032" s="278" t="str">
        <f t="shared" si="149"/>
        <v/>
      </c>
    </row>
    <row r="1033" spans="1:28" s="277" customFormat="1" ht="20.25">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47"/>
        <v/>
      </c>
      <c r="T1033" s="225" t="str">
        <f ca="1">IF(B1033="","",IF(ISERROR(MATCH($J1033,SorP!$B$1:$B$6230,0)),"",INDIRECT("'SorP'!$A$"&amp;MATCH($J1033,SorP!$B$1:$B$6230,0))))</f>
        <v/>
      </c>
      <c r="U1033" s="241"/>
      <c r="V1033" s="275" t="e">
        <f>IF(C1033="",NA(),MATCH($B1033&amp;$C1033,'Smelter Look-up'!$J:$J,0))</f>
        <v>#N/A</v>
      </c>
      <c r="W1033" s="276"/>
      <c r="X1033" s="276">
        <f t="shared" ca="1" si="148"/>
        <v>0</v>
      </c>
      <c r="Y1033" s="276"/>
      <c r="Z1033" s="276"/>
      <c r="AB1033" s="278" t="str">
        <f t="shared" si="149"/>
        <v/>
      </c>
    </row>
    <row r="1034" spans="1:28" s="277" customFormat="1" ht="20.25">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47"/>
        <v/>
      </c>
      <c r="T1034" s="225" t="str">
        <f ca="1">IF(B1034="","",IF(ISERROR(MATCH($J1034,SorP!$B$1:$B$6230,0)),"",INDIRECT("'SorP'!$A$"&amp;MATCH($J1034,SorP!$B$1:$B$6230,0))))</f>
        <v/>
      </c>
      <c r="U1034" s="241"/>
      <c r="V1034" s="275" t="e">
        <f>IF(C1034="",NA(),MATCH($B1034&amp;$C1034,'Smelter Look-up'!$J:$J,0))</f>
        <v>#N/A</v>
      </c>
      <c r="W1034" s="276"/>
      <c r="X1034" s="276">
        <f t="shared" ca="1" si="148"/>
        <v>0</v>
      </c>
      <c r="Y1034" s="276"/>
      <c r="Z1034" s="276"/>
      <c r="AB1034" s="278" t="str">
        <f t="shared" si="149"/>
        <v/>
      </c>
    </row>
    <row r="1035" spans="1:28" s="277" customFormat="1" ht="20.25">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47"/>
        <v/>
      </c>
      <c r="T1035" s="225" t="str">
        <f ca="1">IF(B1035="","",IF(ISERROR(MATCH($J1035,SorP!$B$1:$B$6230,0)),"",INDIRECT("'SorP'!$A$"&amp;MATCH($J1035,SorP!$B$1:$B$6230,0))))</f>
        <v/>
      </c>
      <c r="U1035" s="241"/>
      <c r="V1035" s="275" t="e">
        <f>IF(C1035="",NA(),MATCH($B1035&amp;$C1035,'Smelter Look-up'!$J:$J,0))</f>
        <v>#N/A</v>
      </c>
      <c r="W1035" s="276"/>
      <c r="X1035" s="276">
        <f t="shared" ca="1" si="148"/>
        <v>0</v>
      </c>
      <c r="Y1035" s="276"/>
      <c r="Z1035" s="276"/>
      <c r="AB1035" s="278" t="str">
        <f t="shared" si="149"/>
        <v/>
      </c>
    </row>
    <row r="1036" spans="1:28" s="277" customFormat="1" ht="20.25">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47"/>
        <v/>
      </c>
      <c r="T1036" s="225" t="str">
        <f ca="1">IF(B1036="","",IF(ISERROR(MATCH($J1036,SorP!$B$1:$B$6230,0)),"",INDIRECT("'SorP'!$A$"&amp;MATCH($J1036,SorP!$B$1:$B$6230,0))))</f>
        <v/>
      </c>
      <c r="U1036" s="241"/>
      <c r="V1036" s="275" t="e">
        <f>IF(C1036="",NA(),MATCH($B1036&amp;$C1036,'Smelter Look-up'!$J:$J,0))</f>
        <v>#N/A</v>
      </c>
      <c r="W1036" s="276"/>
      <c r="X1036" s="276">
        <f t="shared" ca="1" si="148"/>
        <v>0</v>
      </c>
      <c r="Y1036" s="276"/>
      <c r="Z1036" s="276"/>
      <c r="AB1036" s="278" t="str">
        <f t="shared" si="149"/>
        <v/>
      </c>
    </row>
    <row r="1037" spans="1:28" s="277" customFormat="1" ht="20.25">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47"/>
        <v/>
      </c>
      <c r="T1037" s="225" t="str">
        <f ca="1">IF(B1037="","",IF(ISERROR(MATCH($J1037,SorP!$B$1:$B$6230,0)),"",INDIRECT("'SorP'!$A$"&amp;MATCH($J1037,SorP!$B$1:$B$6230,0))))</f>
        <v/>
      </c>
      <c r="U1037" s="241"/>
      <c r="V1037" s="275" t="e">
        <f>IF(C1037="",NA(),MATCH($B1037&amp;$C1037,'Smelter Look-up'!$J:$J,0))</f>
        <v>#N/A</v>
      </c>
      <c r="W1037" s="276"/>
      <c r="X1037" s="276">
        <f t="shared" ca="1" si="148"/>
        <v>0</v>
      </c>
      <c r="Y1037" s="276"/>
      <c r="Z1037" s="276"/>
      <c r="AB1037" s="278" t="str">
        <f t="shared" si="149"/>
        <v/>
      </c>
    </row>
    <row r="1038" spans="1:28" s="277" customFormat="1" ht="20.25">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47"/>
        <v/>
      </c>
      <c r="T1038" s="225" t="str">
        <f ca="1">IF(B1038="","",IF(ISERROR(MATCH($J1038,SorP!$B$1:$B$6230,0)),"",INDIRECT("'SorP'!$A$"&amp;MATCH($J1038,SorP!$B$1:$B$6230,0))))</f>
        <v/>
      </c>
      <c r="U1038" s="241"/>
      <c r="V1038" s="275" t="e">
        <f>IF(C1038="",NA(),MATCH($B1038&amp;$C1038,'Smelter Look-up'!$J:$J,0))</f>
        <v>#N/A</v>
      </c>
      <c r="W1038" s="276"/>
      <c r="X1038" s="276">
        <f t="shared" ca="1" si="148"/>
        <v>0</v>
      </c>
      <c r="Y1038" s="276"/>
      <c r="Z1038" s="276"/>
      <c r="AB1038" s="278" t="str">
        <f t="shared" si="149"/>
        <v/>
      </c>
    </row>
    <row r="1039" spans="1:28" s="277" customFormat="1" ht="20.25">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47"/>
        <v/>
      </c>
      <c r="T1039" s="225" t="str">
        <f ca="1">IF(B1039="","",IF(ISERROR(MATCH($J1039,SorP!$B$1:$B$6230,0)),"",INDIRECT("'SorP'!$A$"&amp;MATCH($J1039,SorP!$B$1:$B$6230,0))))</f>
        <v/>
      </c>
      <c r="U1039" s="241"/>
      <c r="V1039" s="275" t="e">
        <f>IF(C1039="",NA(),MATCH($B1039&amp;$C1039,'Smelter Look-up'!$J:$J,0))</f>
        <v>#N/A</v>
      </c>
      <c r="W1039" s="276"/>
      <c r="X1039" s="276">
        <f t="shared" ca="1" si="148"/>
        <v>0</v>
      </c>
      <c r="Y1039" s="276"/>
      <c r="Z1039" s="276"/>
      <c r="AB1039" s="278" t="str">
        <f t="shared" si="149"/>
        <v/>
      </c>
    </row>
    <row r="1040" spans="1:28" s="277" customFormat="1" ht="20.25">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ca="1" si="147"/>
        <v/>
      </c>
      <c r="T1040" s="225" t="str">
        <f ca="1">IF(B1040="","",IF(ISERROR(MATCH($J1040,SorP!$B$1:$B$6230,0)),"",INDIRECT("'SorP'!$A$"&amp;MATCH($J1040,SorP!$B$1:$B$6230,0))))</f>
        <v/>
      </c>
      <c r="U1040" s="241"/>
      <c r="V1040" s="275" t="e">
        <f>IF(C1040="",NA(),MATCH($B1040&amp;$C1040,'Smelter Look-up'!$J:$J,0))</f>
        <v>#N/A</v>
      </c>
      <c r="W1040" s="276"/>
      <c r="X1040" s="276">
        <f t="shared" ca="1" si="148"/>
        <v>0</v>
      </c>
      <c r="Y1040" s="276"/>
      <c r="Z1040" s="276"/>
      <c r="AB1040" s="278" t="str">
        <f t="shared" si="149"/>
        <v/>
      </c>
    </row>
    <row r="1041" spans="1:28" s="277" customFormat="1" ht="20.25">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47"/>
        <v/>
      </c>
      <c r="T1041" s="225" t="str">
        <f ca="1">IF(B1041="","",IF(ISERROR(MATCH($J1041,SorP!$B$1:$B$6230,0)),"",INDIRECT("'SorP'!$A$"&amp;MATCH($J1041,SorP!$B$1:$B$6230,0))))</f>
        <v/>
      </c>
      <c r="U1041" s="241"/>
      <c r="V1041" s="275" t="e">
        <f>IF(C1041="",NA(),MATCH($B1041&amp;$C1041,'Smelter Look-up'!$J:$J,0))</f>
        <v>#N/A</v>
      </c>
      <c r="W1041" s="276"/>
      <c r="X1041" s="276">
        <f t="shared" ca="1" si="148"/>
        <v>0</v>
      </c>
      <c r="Y1041" s="276"/>
      <c r="Z1041" s="276"/>
      <c r="AB1041" s="278" t="str">
        <f t="shared" si="149"/>
        <v/>
      </c>
    </row>
    <row r="1042" spans="1:28" s="277" customFormat="1" ht="20.25">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ca="1" si="147"/>
        <v/>
      </c>
      <c r="T1042" s="225" t="str">
        <f ca="1">IF(B1042="","",IF(ISERROR(MATCH($J1042,SorP!$B$1:$B$6230,0)),"",INDIRECT("'SorP'!$A$"&amp;MATCH($J1042,SorP!$B$1:$B$6230,0))))</f>
        <v/>
      </c>
      <c r="U1042" s="241"/>
      <c r="V1042" s="275" t="e">
        <f>IF(C1042="",NA(),MATCH($B1042&amp;$C1042,'Smelter Look-up'!$J:$J,0))</f>
        <v>#N/A</v>
      </c>
      <c r="W1042" s="276"/>
      <c r="X1042" s="276">
        <f t="shared" ca="1" si="148"/>
        <v>0</v>
      </c>
      <c r="Y1042" s="276"/>
      <c r="Z1042" s="276"/>
      <c r="AB1042" s="278" t="str">
        <f t="shared" si="149"/>
        <v/>
      </c>
    </row>
    <row r="1043" spans="1:28" s="277" customFormat="1" ht="20.25">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47"/>
        <v/>
      </c>
      <c r="T1043" s="225" t="str">
        <f ca="1">IF(B1043="","",IF(ISERROR(MATCH($J1043,SorP!$B$1:$B$6230,0)),"",INDIRECT("'SorP'!$A$"&amp;MATCH($J1043,SorP!$B$1:$B$6230,0))))</f>
        <v/>
      </c>
      <c r="U1043" s="241"/>
      <c r="V1043" s="275" t="e">
        <f>IF(C1043="",NA(),MATCH($B1043&amp;$C1043,'Smelter Look-up'!$J:$J,0))</f>
        <v>#N/A</v>
      </c>
      <c r="W1043" s="276"/>
      <c r="X1043" s="276">
        <f t="shared" ca="1" si="148"/>
        <v>0</v>
      </c>
      <c r="Y1043" s="276"/>
      <c r="Z1043" s="276"/>
      <c r="AB1043" s="278" t="str">
        <f t="shared" si="149"/>
        <v/>
      </c>
    </row>
    <row r="1044" spans="1:28" s="277" customFormat="1" ht="20.25">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47"/>
        <v/>
      </c>
      <c r="T1044" s="225" t="str">
        <f ca="1">IF(B1044="","",IF(ISERROR(MATCH($J1044,SorP!$B$1:$B$6230,0)),"",INDIRECT("'SorP'!$A$"&amp;MATCH($J1044,SorP!$B$1:$B$6230,0))))</f>
        <v/>
      </c>
      <c r="U1044" s="241"/>
      <c r="V1044" s="275" t="e">
        <f>IF(C1044="",NA(),MATCH($B1044&amp;$C1044,'Smelter Look-up'!$J:$J,0))</f>
        <v>#N/A</v>
      </c>
      <c r="W1044" s="276"/>
      <c r="X1044" s="276">
        <f t="shared" ca="1" si="148"/>
        <v>0</v>
      </c>
      <c r="Y1044" s="276"/>
      <c r="Z1044" s="276"/>
      <c r="AB1044" s="278" t="str">
        <f t="shared" si="149"/>
        <v/>
      </c>
    </row>
    <row r="1045" spans="1:28" s="277" customFormat="1" ht="20.25">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47"/>
        <v/>
      </c>
      <c r="T1045" s="225" t="str">
        <f ca="1">IF(B1045="","",IF(ISERROR(MATCH($J1045,SorP!$B$1:$B$6230,0)),"",INDIRECT("'SorP'!$A$"&amp;MATCH($J1045,SorP!$B$1:$B$6230,0))))</f>
        <v/>
      </c>
      <c r="U1045" s="241"/>
      <c r="V1045" s="275" t="e">
        <f>IF(C1045="",NA(),MATCH($B1045&amp;$C1045,'Smelter Look-up'!$J:$J,0))</f>
        <v>#N/A</v>
      </c>
      <c r="W1045" s="276"/>
      <c r="X1045" s="276">
        <f t="shared" ca="1" si="148"/>
        <v>0</v>
      </c>
      <c r="Y1045" s="276"/>
      <c r="Z1045" s="276"/>
      <c r="AB1045" s="278" t="str">
        <f t="shared" si="149"/>
        <v/>
      </c>
    </row>
    <row r="1046" spans="1:28" s="277" customFormat="1" ht="20.25">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47"/>
        <v/>
      </c>
      <c r="T1046" s="225" t="str">
        <f ca="1">IF(B1046="","",IF(ISERROR(MATCH($J1046,SorP!$B$1:$B$6230,0)),"",INDIRECT("'SorP'!$A$"&amp;MATCH($J1046,SorP!$B$1:$B$6230,0))))</f>
        <v/>
      </c>
      <c r="U1046" s="241"/>
      <c r="V1046" s="275" t="e">
        <f>IF(C1046="",NA(),MATCH($B1046&amp;$C1046,'Smelter Look-up'!$J:$J,0))</f>
        <v>#N/A</v>
      </c>
      <c r="W1046" s="276"/>
      <c r="X1046" s="276">
        <f t="shared" ca="1" si="148"/>
        <v>0</v>
      </c>
      <c r="Y1046" s="276"/>
      <c r="Z1046" s="276"/>
      <c r="AB1046" s="278" t="str">
        <f t="shared" si="149"/>
        <v/>
      </c>
    </row>
    <row r="1047" spans="1:28" s="277" customFormat="1" ht="20.25">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47"/>
        <v/>
      </c>
      <c r="T1047" s="225" t="str">
        <f ca="1">IF(B1047="","",IF(ISERROR(MATCH($J1047,SorP!$B$1:$B$6230,0)),"",INDIRECT("'SorP'!$A$"&amp;MATCH($J1047,SorP!$B$1:$B$6230,0))))</f>
        <v/>
      </c>
      <c r="U1047" s="241"/>
      <c r="V1047" s="275" t="e">
        <f>IF(C1047="",NA(),MATCH($B1047&amp;$C1047,'Smelter Look-up'!$J:$J,0))</f>
        <v>#N/A</v>
      </c>
      <c r="W1047" s="276"/>
      <c r="X1047" s="276">
        <f t="shared" ca="1" si="148"/>
        <v>0</v>
      </c>
      <c r="Y1047" s="276"/>
      <c r="Z1047" s="276"/>
      <c r="AB1047" s="278" t="str">
        <f t="shared" si="149"/>
        <v/>
      </c>
    </row>
    <row r="1048" spans="1:28" s="277" customFormat="1" ht="20.25">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47"/>
        <v/>
      </c>
      <c r="T1048" s="225" t="str">
        <f ca="1">IF(B1048="","",IF(ISERROR(MATCH($J1048,SorP!$B$1:$B$6230,0)),"",INDIRECT("'SorP'!$A$"&amp;MATCH($J1048,SorP!$B$1:$B$6230,0))))</f>
        <v/>
      </c>
      <c r="U1048" s="241"/>
      <c r="V1048" s="275" t="e">
        <f>IF(C1048="",NA(),MATCH($B1048&amp;$C1048,'Smelter Look-up'!$J:$J,0))</f>
        <v>#N/A</v>
      </c>
      <c r="W1048" s="276"/>
      <c r="X1048" s="276">
        <f t="shared" ca="1" si="148"/>
        <v>0</v>
      </c>
      <c r="Y1048" s="276"/>
      <c r="Z1048" s="276"/>
      <c r="AB1048" s="278" t="str">
        <f t="shared" si="149"/>
        <v/>
      </c>
    </row>
    <row r="1049" spans="1:28" s="277" customFormat="1" ht="20.25">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47"/>
        <v/>
      </c>
      <c r="T1049" s="225" t="str">
        <f ca="1">IF(B1049="","",IF(ISERROR(MATCH($J1049,SorP!$B$1:$B$6230,0)),"",INDIRECT("'SorP'!$A$"&amp;MATCH($J1049,SorP!$B$1:$B$6230,0))))</f>
        <v/>
      </c>
      <c r="U1049" s="241"/>
      <c r="V1049" s="275" t="e">
        <f>IF(C1049="",NA(),MATCH($B1049&amp;$C1049,'Smelter Look-up'!$J:$J,0))</f>
        <v>#N/A</v>
      </c>
      <c r="W1049" s="276"/>
      <c r="X1049" s="276">
        <f t="shared" ca="1" si="148"/>
        <v>0</v>
      </c>
      <c r="Y1049" s="276"/>
      <c r="Z1049" s="276"/>
      <c r="AB1049" s="278" t="str">
        <f t="shared" si="149"/>
        <v/>
      </c>
    </row>
    <row r="1050" spans="1:28" s="277" customFormat="1" ht="20.25">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47"/>
        <v/>
      </c>
      <c r="T1050" s="225" t="str">
        <f ca="1">IF(B1050="","",IF(ISERROR(MATCH($J1050,SorP!$B$1:$B$6230,0)),"",INDIRECT("'SorP'!$A$"&amp;MATCH($J1050,SorP!$B$1:$B$6230,0))))</f>
        <v/>
      </c>
      <c r="U1050" s="241"/>
      <c r="V1050" s="275" t="e">
        <f>IF(C1050="",NA(),MATCH($B1050&amp;$C1050,'Smelter Look-up'!$J:$J,0))</f>
        <v>#N/A</v>
      </c>
      <c r="W1050" s="276"/>
      <c r="X1050" s="276">
        <f t="shared" ca="1" si="148"/>
        <v>0</v>
      </c>
      <c r="Y1050" s="276"/>
      <c r="Z1050" s="276"/>
      <c r="AB1050" s="278" t="str">
        <f t="shared" si="149"/>
        <v/>
      </c>
    </row>
    <row r="1051" spans="1:28" s="277" customFormat="1" ht="20.25">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ca="1" si="147"/>
        <v/>
      </c>
      <c r="T1051" s="225" t="str">
        <f ca="1">IF(B1051="","",IF(ISERROR(MATCH($J1051,SorP!$B$1:$B$6230,0)),"",INDIRECT("'SorP'!$A$"&amp;MATCH($J1051,SorP!$B$1:$B$6230,0))))</f>
        <v/>
      </c>
      <c r="U1051" s="241"/>
      <c r="V1051" s="275" t="e">
        <f>IF(C1051="",NA(),MATCH($B1051&amp;$C1051,'Smelter Look-up'!$J:$J,0))</f>
        <v>#N/A</v>
      </c>
      <c r="W1051" s="276"/>
      <c r="X1051" s="276">
        <f t="shared" ca="1" si="148"/>
        <v>0</v>
      </c>
      <c r="Y1051" s="276"/>
      <c r="Z1051" s="276"/>
      <c r="AB1051" s="278" t="str">
        <f t="shared" si="149"/>
        <v/>
      </c>
    </row>
    <row r="1052" spans="1:28" s="277" customFormat="1" ht="20.25">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ref="S1052:S1082" ca="1" si="150">IF(B1052="","",IF(ISERROR(MATCH($E1052,CL,0)),"Unknown",INDIRECT("'C'!$A$"&amp;MATCH($E1052,CL,0)+1)))</f>
        <v/>
      </c>
      <c r="T1052" s="225" t="str">
        <f ca="1">IF(B1052="","",IF(ISERROR(MATCH($J1052,SorP!$B$1:$B$6230,0)),"",INDIRECT("'SorP'!$A$"&amp;MATCH($J1052,SorP!$B$1:$B$6230,0))))</f>
        <v/>
      </c>
      <c r="U1052" s="241"/>
      <c r="V1052" s="275" t="e">
        <f>IF(C1052="",NA(),MATCH($B1052&amp;$C1052,'Smelter Look-up'!$J:$J,0))</f>
        <v>#N/A</v>
      </c>
      <c r="W1052" s="276"/>
      <c r="X1052" s="276">
        <f t="shared" ref="X1052:X1082" ca="1" si="151">IF(AND(C1052="Smelter not listed",OR(LEN(D1052)=0,LEN(E1052)=0)),1,0)</f>
        <v>0</v>
      </c>
      <c r="Y1052" s="276"/>
      <c r="Z1052" s="276"/>
      <c r="AB1052" s="278" t="str">
        <f t="shared" ref="AB1052:AB1082" si="152">B1052&amp;C1052</f>
        <v/>
      </c>
    </row>
    <row r="1053" spans="1:28" s="277" customFormat="1" ht="20.25">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50"/>
        <v/>
      </c>
      <c r="T1053" s="225" t="str">
        <f ca="1">IF(B1053="","",IF(ISERROR(MATCH($J1053,SorP!$B$1:$B$6230,0)),"",INDIRECT("'SorP'!$A$"&amp;MATCH($J1053,SorP!$B$1:$B$6230,0))))</f>
        <v/>
      </c>
      <c r="U1053" s="241"/>
      <c r="V1053" s="275" t="e">
        <f>IF(C1053="",NA(),MATCH($B1053&amp;$C1053,'Smelter Look-up'!$J:$J,0))</f>
        <v>#N/A</v>
      </c>
      <c r="W1053" s="276"/>
      <c r="X1053" s="276">
        <f t="shared" ca="1" si="151"/>
        <v>0</v>
      </c>
      <c r="Y1053" s="276"/>
      <c r="Z1053" s="276"/>
      <c r="AB1053" s="278" t="str">
        <f t="shared" si="152"/>
        <v/>
      </c>
    </row>
    <row r="1054" spans="1:28" s="277" customFormat="1" ht="20.25">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50"/>
        <v/>
      </c>
      <c r="T1054" s="225" t="str">
        <f ca="1">IF(B1054="","",IF(ISERROR(MATCH($J1054,SorP!$B$1:$B$6230,0)),"",INDIRECT("'SorP'!$A$"&amp;MATCH($J1054,SorP!$B$1:$B$6230,0))))</f>
        <v/>
      </c>
      <c r="U1054" s="241"/>
      <c r="V1054" s="275" t="e">
        <f>IF(C1054="",NA(),MATCH($B1054&amp;$C1054,'Smelter Look-up'!$J:$J,0))</f>
        <v>#N/A</v>
      </c>
      <c r="W1054" s="276"/>
      <c r="X1054" s="276">
        <f t="shared" ca="1" si="151"/>
        <v>0</v>
      </c>
      <c r="Y1054" s="276"/>
      <c r="Z1054" s="276"/>
      <c r="AB1054" s="278" t="str">
        <f t="shared" si="152"/>
        <v/>
      </c>
    </row>
    <row r="1055" spans="1:28" s="277" customFormat="1" ht="20.25">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50"/>
        <v/>
      </c>
      <c r="T1055" s="225" t="str">
        <f ca="1">IF(B1055="","",IF(ISERROR(MATCH($J1055,SorP!$B$1:$B$6230,0)),"",INDIRECT("'SorP'!$A$"&amp;MATCH($J1055,SorP!$B$1:$B$6230,0))))</f>
        <v/>
      </c>
      <c r="U1055" s="241"/>
      <c r="V1055" s="275" t="e">
        <f>IF(C1055="",NA(),MATCH($B1055&amp;$C1055,'Smelter Look-up'!$J:$J,0))</f>
        <v>#N/A</v>
      </c>
      <c r="W1055" s="276"/>
      <c r="X1055" s="276">
        <f t="shared" ca="1" si="151"/>
        <v>0</v>
      </c>
      <c r="Y1055" s="276"/>
      <c r="Z1055" s="276"/>
      <c r="AB1055" s="278" t="str">
        <f t="shared" si="152"/>
        <v/>
      </c>
    </row>
    <row r="1056" spans="1:28" s="277" customFormat="1" ht="20.25">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50"/>
        <v/>
      </c>
      <c r="T1056" s="225" t="str">
        <f ca="1">IF(B1056="","",IF(ISERROR(MATCH($J1056,SorP!$B$1:$B$6230,0)),"",INDIRECT("'SorP'!$A$"&amp;MATCH($J1056,SorP!$B$1:$B$6230,0))))</f>
        <v/>
      </c>
      <c r="U1056" s="241"/>
      <c r="V1056" s="275" t="e">
        <f>IF(C1056="",NA(),MATCH($B1056&amp;$C1056,'Smelter Look-up'!$J:$J,0))</f>
        <v>#N/A</v>
      </c>
      <c r="W1056" s="276"/>
      <c r="X1056" s="276">
        <f t="shared" ca="1" si="151"/>
        <v>0</v>
      </c>
      <c r="Y1056" s="276"/>
      <c r="Z1056" s="276"/>
      <c r="AB1056" s="278" t="str">
        <f t="shared" si="152"/>
        <v/>
      </c>
    </row>
    <row r="1057" spans="1:28" s="277" customFormat="1" ht="20.25">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50"/>
        <v/>
      </c>
      <c r="T1057" s="225" t="str">
        <f ca="1">IF(B1057="","",IF(ISERROR(MATCH($J1057,SorP!$B$1:$B$6230,0)),"",INDIRECT("'SorP'!$A$"&amp;MATCH($J1057,SorP!$B$1:$B$6230,0))))</f>
        <v/>
      </c>
      <c r="U1057" s="241"/>
      <c r="V1057" s="275" t="e">
        <f>IF(C1057="",NA(),MATCH($B1057&amp;$C1057,'Smelter Look-up'!$J:$J,0))</f>
        <v>#N/A</v>
      </c>
      <c r="W1057" s="276"/>
      <c r="X1057" s="276">
        <f t="shared" ca="1" si="151"/>
        <v>0</v>
      </c>
      <c r="Y1057" s="276"/>
      <c r="Z1057" s="276"/>
      <c r="AB1057" s="278" t="str">
        <f t="shared" si="152"/>
        <v/>
      </c>
    </row>
    <row r="1058" spans="1:28" s="277" customFormat="1" ht="20.25">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50"/>
        <v/>
      </c>
      <c r="T1058" s="225" t="str">
        <f ca="1">IF(B1058="","",IF(ISERROR(MATCH($J1058,SorP!$B$1:$B$6230,0)),"",INDIRECT("'SorP'!$A$"&amp;MATCH($J1058,SorP!$B$1:$B$6230,0))))</f>
        <v/>
      </c>
      <c r="U1058" s="241"/>
      <c r="V1058" s="275" t="e">
        <f>IF(C1058="",NA(),MATCH($B1058&amp;$C1058,'Smelter Look-up'!$J:$J,0))</f>
        <v>#N/A</v>
      </c>
      <c r="W1058" s="276"/>
      <c r="X1058" s="276">
        <f t="shared" ca="1" si="151"/>
        <v>0</v>
      </c>
      <c r="Y1058" s="276"/>
      <c r="Z1058" s="276"/>
      <c r="AB1058" s="278" t="str">
        <f t="shared" si="152"/>
        <v/>
      </c>
    </row>
    <row r="1059" spans="1:28" s="277" customFormat="1" ht="20.25">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50"/>
        <v/>
      </c>
      <c r="T1059" s="225" t="str">
        <f ca="1">IF(B1059="","",IF(ISERROR(MATCH($J1059,SorP!$B$1:$B$6230,0)),"",INDIRECT("'SorP'!$A$"&amp;MATCH($J1059,SorP!$B$1:$B$6230,0))))</f>
        <v/>
      </c>
      <c r="U1059" s="241"/>
      <c r="V1059" s="275" t="e">
        <f>IF(C1059="",NA(),MATCH($B1059&amp;$C1059,'Smelter Look-up'!$J:$J,0))</f>
        <v>#N/A</v>
      </c>
      <c r="W1059" s="276"/>
      <c r="X1059" s="276">
        <f t="shared" ca="1" si="151"/>
        <v>0</v>
      </c>
      <c r="Y1059" s="276"/>
      <c r="Z1059" s="276"/>
      <c r="AB1059" s="278" t="str">
        <f t="shared" si="152"/>
        <v/>
      </c>
    </row>
    <row r="1060" spans="1:28" s="277" customFormat="1" ht="20.25">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50"/>
        <v/>
      </c>
      <c r="T1060" s="225" t="str">
        <f ca="1">IF(B1060="","",IF(ISERROR(MATCH($J1060,SorP!$B$1:$B$6230,0)),"",INDIRECT("'SorP'!$A$"&amp;MATCH($J1060,SorP!$B$1:$B$6230,0))))</f>
        <v/>
      </c>
      <c r="U1060" s="241"/>
      <c r="V1060" s="275" t="e">
        <f>IF(C1060="",NA(),MATCH($B1060&amp;$C1060,'Smelter Look-up'!$J:$J,0))</f>
        <v>#N/A</v>
      </c>
      <c r="W1060" s="276"/>
      <c r="X1060" s="276">
        <f t="shared" ca="1" si="151"/>
        <v>0</v>
      </c>
      <c r="Y1060" s="276"/>
      <c r="Z1060" s="276"/>
      <c r="AB1060" s="278" t="str">
        <f t="shared" si="152"/>
        <v/>
      </c>
    </row>
    <row r="1061" spans="1:28" s="277" customFormat="1" ht="20.25">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50"/>
        <v/>
      </c>
      <c r="T1061" s="225" t="str">
        <f ca="1">IF(B1061="","",IF(ISERROR(MATCH($J1061,SorP!$B$1:$B$6230,0)),"",INDIRECT("'SorP'!$A$"&amp;MATCH($J1061,SorP!$B$1:$B$6230,0))))</f>
        <v/>
      </c>
      <c r="U1061" s="241"/>
      <c r="V1061" s="275" t="e">
        <f>IF(C1061="",NA(),MATCH($B1061&amp;$C1061,'Smelter Look-up'!$J:$J,0))</f>
        <v>#N/A</v>
      </c>
      <c r="W1061" s="276"/>
      <c r="X1061" s="276">
        <f t="shared" ca="1" si="151"/>
        <v>0</v>
      </c>
      <c r="Y1061" s="276"/>
      <c r="Z1061" s="276"/>
      <c r="AB1061" s="278" t="str">
        <f t="shared" si="152"/>
        <v/>
      </c>
    </row>
    <row r="1062" spans="1:28" s="277" customFormat="1" ht="20.25">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50"/>
        <v/>
      </c>
      <c r="T1062" s="225" t="str">
        <f ca="1">IF(B1062="","",IF(ISERROR(MATCH($J1062,SorP!$B$1:$B$6230,0)),"",INDIRECT("'SorP'!$A$"&amp;MATCH($J1062,SorP!$B$1:$B$6230,0))))</f>
        <v/>
      </c>
      <c r="U1062" s="241"/>
      <c r="V1062" s="275" t="e">
        <f>IF(C1062="",NA(),MATCH($B1062&amp;$C1062,'Smelter Look-up'!$J:$J,0))</f>
        <v>#N/A</v>
      </c>
      <c r="W1062" s="276"/>
      <c r="X1062" s="276">
        <f t="shared" ca="1" si="151"/>
        <v>0</v>
      </c>
      <c r="Y1062" s="276"/>
      <c r="Z1062" s="276"/>
      <c r="AB1062" s="278" t="str">
        <f t="shared" si="152"/>
        <v/>
      </c>
    </row>
    <row r="1063" spans="1:28" s="277" customFormat="1" ht="20.25">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50"/>
        <v/>
      </c>
      <c r="T1063" s="225" t="str">
        <f ca="1">IF(B1063="","",IF(ISERROR(MATCH($J1063,SorP!$B$1:$B$6230,0)),"",INDIRECT("'SorP'!$A$"&amp;MATCH($J1063,SorP!$B$1:$B$6230,0))))</f>
        <v/>
      </c>
      <c r="U1063" s="241"/>
      <c r="V1063" s="275" t="e">
        <f>IF(C1063="",NA(),MATCH($B1063&amp;$C1063,'Smelter Look-up'!$J:$J,0))</f>
        <v>#N/A</v>
      </c>
      <c r="W1063" s="276"/>
      <c r="X1063" s="276">
        <f t="shared" ca="1" si="151"/>
        <v>0</v>
      </c>
      <c r="Y1063" s="276"/>
      <c r="Z1063" s="276"/>
      <c r="AB1063" s="278" t="str">
        <f t="shared" si="152"/>
        <v/>
      </c>
    </row>
    <row r="1064" spans="1:28" s="277" customFormat="1" ht="20.25">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50"/>
        <v/>
      </c>
      <c r="T1064" s="225" t="str">
        <f ca="1">IF(B1064="","",IF(ISERROR(MATCH($J1064,SorP!$B$1:$B$6230,0)),"",INDIRECT("'SorP'!$A$"&amp;MATCH($J1064,SorP!$B$1:$B$6230,0))))</f>
        <v/>
      </c>
      <c r="U1064" s="241"/>
      <c r="V1064" s="275" t="e">
        <f>IF(C1064="",NA(),MATCH($B1064&amp;$C1064,'Smelter Look-up'!$J:$J,0))</f>
        <v>#N/A</v>
      </c>
      <c r="W1064" s="276"/>
      <c r="X1064" s="276">
        <f t="shared" ca="1" si="151"/>
        <v>0</v>
      </c>
      <c r="Y1064" s="276"/>
      <c r="Z1064" s="276"/>
      <c r="AB1064" s="278" t="str">
        <f t="shared" si="152"/>
        <v/>
      </c>
    </row>
    <row r="1065" spans="1:28" s="277" customFormat="1" ht="20.25">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50"/>
        <v/>
      </c>
      <c r="T1065" s="225" t="str">
        <f ca="1">IF(B1065="","",IF(ISERROR(MATCH($J1065,SorP!$B$1:$B$6230,0)),"",INDIRECT("'SorP'!$A$"&amp;MATCH($J1065,SorP!$B$1:$B$6230,0))))</f>
        <v/>
      </c>
      <c r="U1065" s="241"/>
      <c r="V1065" s="275" t="e">
        <f>IF(C1065="",NA(),MATCH($B1065&amp;$C1065,'Smelter Look-up'!$J:$J,0))</f>
        <v>#N/A</v>
      </c>
      <c r="W1065" s="276"/>
      <c r="X1065" s="276">
        <f t="shared" ca="1" si="151"/>
        <v>0</v>
      </c>
      <c r="Y1065" s="276"/>
      <c r="Z1065" s="276"/>
      <c r="AB1065" s="278" t="str">
        <f t="shared" si="152"/>
        <v/>
      </c>
    </row>
    <row r="1066" spans="1:28" s="277" customFormat="1" ht="20.25">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50"/>
        <v/>
      </c>
      <c r="T1066" s="225" t="str">
        <f ca="1">IF(B1066="","",IF(ISERROR(MATCH($J1066,SorP!$B$1:$B$6230,0)),"",INDIRECT("'SorP'!$A$"&amp;MATCH($J1066,SorP!$B$1:$B$6230,0))))</f>
        <v/>
      </c>
      <c r="U1066" s="241"/>
      <c r="V1066" s="275" t="e">
        <f>IF(C1066="",NA(),MATCH($B1066&amp;$C1066,'Smelter Look-up'!$J:$J,0))</f>
        <v>#N/A</v>
      </c>
      <c r="W1066" s="276"/>
      <c r="X1066" s="276">
        <f t="shared" ca="1" si="151"/>
        <v>0</v>
      </c>
      <c r="Y1066" s="276"/>
      <c r="Z1066" s="276"/>
      <c r="AB1066" s="278" t="str">
        <f t="shared" si="152"/>
        <v/>
      </c>
    </row>
    <row r="1067" spans="1:28" s="277" customFormat="1" ht="20.25">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50"/>
        <v/>
      </c>
      <c r="T1067" s="225" t="str">
        <f ca="1">IF(B1067="","",IF(ISERROR(MATCH($J1067,SorP!$B$1:$B$6230,0)),"",INDIRECT("'SorP'!$A$"&amp;MATCH($J1067,SorP!$B$1:$B$6230,0))))</f>
        <v/>
      </c>
      <c r="U1067" s="241"/>
      <c r="V1067" s="275" t="e">
        <f>IF(C1067="",NA(),MATCH($B1067&amp;$C1067,'Smelter Look-up'!$J:$J,0))</f>
        <v>#N/A</v>
      </c>
      <c r="W1067" s="276"/>
      <c r="X1067" s="276">
        <f t="shared" ca="1" si="151"/>
        <v>0</v>
      </c>
      <c r="Y1067" s="276"/>
      <c r="Z1067" s="276"/>
      <c r="AB1067" s="278" t="str">
        <f t="shared" si="152"/>
        <v/>
      </c>
    </row>
    <row r="1068" spans="1:28" s="277" customFormat="1" ht="20.25">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50"/>
        <v/>
      </c>
      <c r="T1068" s="225" t="str">
        <f ca="1">IF(B1068="","",IF(ISERROR(MATCH($J1068,SorP!$B$1:$B$6230,0)),"",INDIRECT("'SorP'!$A$"&amp;MATCH($J1068,SorP!$B$1:$B$6230,0))))</f>
        <v/>
      </c>
      <c r="U1068" s="241"/>
      <c r="V1068" s="275" t="e">
        <f>IF(C1068="",NA(),MATCH($B1068&amp;$C1068,'Smelter Look-up'!$J:$J,0))</f>
        <v>#N/A</v>
      </c>
      <c r="W1068" s="276"/>
      <c r="X1068" s="276">
        <f t="shared" ca="1" si="151"/>
        <v>0</v>
      </c>
      <c r="Y1068" s="276"/>
      <c r="Z1068" s="276"/>
      <c r="AB1068" s="278" t="str">
        <f t="shared" si="152"/>
        <v/>
      </c>
    </row>
    <row r="1069" spans="1:28" s="277" customFormat="1" ht="20.25">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50"/>
        <v/>
      </c>
      <c r="T1069" s="225" t="str">
        <f ca="1">IF(B1069="","",IF(ISERROR(MATCH($J1069,SorP!$B$1:$B$6230,0)),"",INDIRECT("'SorP'!$A$"&amp;MATCH($J1069,SorP!$B$1:$B$6230,0))))</f>
        <v/>
      </c>
      <c r="U1069" s="241"/>
      <c r="V1069" s="275" t="e">
        <f>IF(C1069="",NA(),MATCH($B1069&amp;$C1069,'Smelter Look-up'!$J:$J,0))</f>
        <v>#N/A</v>
      </c>
      <c r="W1069" s="276"/>
      <c r="X1069" s="276">
        <f t="shared" ca="1" si="151"/>
        <v>0</v>
      </c>
      <c r="Y1069" s="276"/>
      <c r="Z1069" s="276"/>
      <c r="AB1069" s="278" t="str">
        <f t="shared" si="152"/>
        <v/>
      </c>
    </row>
    <row r="1070" spans="1:28" s="277" customFormat="1" ht="20.25">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50"/>
        <v/>
      </c>
      <c r="T1070" s="225" t="str">
        <f ca="1">IF(B1070="","",IF(ISERROR(MATCH($J1070,SorP!$B$1:$B$6230,0)),"",INDIRECT("'SorP'!$A$"&amp;MATCH($J1070,SorP!$B$1:$B$6230,0))))</f>
        <v/>
      </c>
      <c r="U1070" s="241"/>
      <c r="V1070" s="275" t="e">
        <f>IF(C1070="",NA(),MATCH($B1070&amp;$C1070,'Smelter Look-up'!$J:$J,0))</f>
        <v>#N/A</v>
      </c>
      <c r="W1070" s="276"/>
      <c r="X1070" s="276">
        <f t="shared" ca="1" si="151"/>
        <v>0</v>
      </c>
      <c r="Y1070" s="276"/>
      <c r="Z1070" s="276"/>
      <c r="AB1070" s="278" t="str">
        <f t="shared" si="152"/>
        <v/>
      </c>
    </row>
    <row r="1071" spans="1:28" s="277" customFormat="1" ht="20.25">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150"/>
        <v/>
      </c>
      <c r="T1071" s="225" t="str">
        <f ca="1">IF(B1071="","",IF(ISERROR(MATCH($J1071,SorP!$B$1:$B$6230,0)),"",INDIRECT("'SorP'!$A$"&amp;MATCH($J1071,SorP!$B$1:$B$6230,0))))</f>
        <v/>
      </c>
      <c r="U1071" s="241"/>
      <c r="V1071" s="275" t="e">
        <f>IF(C1071="",NA(),MATCH($B1071&amp;$C1071,'Smelter Look-up'!$J:$J,0))</f>
        <v>#N/A</v>
      </c>
      <c r="W1071" s="276"/>
      <c r="X1071" s="276">
        <f t="shared" ca="1" si="151"/>
        <v>0</v>
      </c>
      <c r="Y1071" s="276"/>
      <c r="Z1071" s="276"/>
      <c r="AB1071" s="278" t="str">
        <f t="shared" si="152"/>
        <v/>
      </c>
    </row>
    <row r="1072" spans="1:28" s="277" customFormat="1" ht="20.25">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150"/>
        <v/>
      </c>
      <c r="T1072" s="225" t="str">
        <f ca="1">IF(B1072="","",IF(ISERROR(MATCH($J1072,SorP!$B$1:$B$6230,0)),"",INDIRECT("'SorP'!$A$"&amp;MATCH($J1072,SorP!$B$1:$B$6230,0))))</f>
        <v/>
      </c>
      <c r="U1072" s="241"/>
      <c r="V1072" s="275" t="e">
        <f>IF(C1072="",NA(),MATCH($B1072&amp;$C1072,'Smelter Look-up'!$J:$J,0))</f>
        <v>#N/A</v>
      </c>
      <c r="W1072" s="276"/>
      <c r="X1072" s="276">
        <f t="shared" ca="1" si="151"/>
        <v>0</v>
      </c>
      <c r="Y1072" s="276"/>
      <c r="Z1072" s="276"/>
      <c r="AB1072" s="278" t="str">
        <f t="shared" si="152"/>
        <v/>
      </c>
    </row>
    <row r="1073" spans="1:28" s="277" customFormat="1" ht="20.25">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150"/>
        <v/>
      </c>
      <c r="T1073" s="225" t="str">
        <f ca="1">IF(B1073="","",IF(ISERROR(MATCH($J1073,SorP!$B$1:$B$6230,0)),"",INDIRECT("'SorP'!$A$"&amp;MATCH($J1073,SorP!$B$1:$B$6230,0))))</f>
        <v/>
      </c>
      <c r="U1073" s="241"/>
      <c r="V1073" s="275" t="e">
        <f>IF(C1073="",NA(),MATCH($B1073&amp;$C1073,'Smelter Look-up'!$J:$J,0))</f>
        <v>#N/A</v>
      </c>
      <c r="W1073" s="276"/>
      <c r="X1073" s="276">
        <f t="shared" ca="1" si="151"/>
        <v>0</v>
      </c>
      <c r="Y1073" s="276"/>
      <c r="Z1073" s="276"/>
      <c r="AB1073" s="278" t="str">
        <f t="shared" si="152"/>
        <v/>
      </c>
    </row>
    <row r="1074" spans="1:28" s="277" customFormat="1" ht="20.25">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150"/>
        <v/>
      </c>
      <c r="T1074" s="225" t="str">
        <f ca="1">IF(B1074="","",IF(ISERROR(MATCH($J1074,SorP!$B$1:$B$6230,0)),"",INDIRECT("'SorP'!$A$"&amp;MATCH($J1074,SorP!$B$1:$B$6230,0))))</f>
        <v/>
      </c>
      <c r="U1074" s="241"/>
      <c r="V1074" s="275" t="e">
        <f>IF(C1074="",NA(),MATCH($B1074&amp;$C1074,'Smelter Look-up'!$J:$J,0))</f>
        <v>#N/A</v>
      </c>
      <c r="W1074" s="276"/>
      <c r="X1074" s="276">
        <f t="shared" ca="1" si="151"/>
        <v>0</v>
      </c>
      <c r="Y1074" s="276"/>
      <c r="Z1074" s="276"/>
      <c r="AB1074" s="278" t="str">
        <f t="shared" si="152"/>
        <v/>
      </c>
    </row>
    <row r="1075" spans="1:28" s="277" customFormat="1" ht="20.25">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50"/>
        <v/>
      </c>
      <c r="T1075" s="225" t="str">
        <f ca="1">IF(B1075="","",IF(ISERROR(MATCH($J1075,SorP!$B$1:$B$6230,0)),"",INDIRECT("'SorP'!$A$"&amp;MATCH($J1075,SorP!$B$1:$B$6230,0))))</f>
        <v/>
      </c>
      <c r="U1075" s="241"/>
      <c r="V1075" s="275" t="e">
        <f>IF(C1075="",NA(),MATCH($B1075&amp;$C1075,'Smelter Look-up'!$J:$J,0))</f>
        <v>#N/A</v>
      </c>
      <c r="W1075" s="276"/>
      <c r="X1075" s="276">
        <f t="shared" ca="1" si="151"/>
        <v>0</v>
      </c>
      <c r="Y1075" s="276"/>
      <c r="Z1075" s="276"/>
      <c r="AB1075" s="278" t="str">
        <f t="shared" si="152"/>
        <v/>
      </c>
    </row>
    <row r="1076" spans="1:28" s="277" customFormat="1" ht="20.25">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50"/>
        <v/>
      </c>
      <c r="T1076" s="225" t="str">
        <f ca="1">IF(B1076="","",IF(ISERROR(MATCH($J1076,SorP!$B$1:$B$6230,0)),"",INDIRECT("'SorP'!$A$"&amp;MATCH($J1076,SorP!$B$1:$B$6230,0))))</f>
        <v/>
      </c>
      <c r="U1076" s="241"/>
      <c r="V1076" s="275" t="e">
        <f>IF(C1076="",NA(),MATCH($B1076&amp;$C1076,'Smelter Look-up'!$J:$J,0))</f>
        <v>#N/A</v>
      </c>
      <c r="W1076" s="276"/>
      <c r="X1076" s="276">
        <f t="shared" ca="1" si="151"/>
        <v>0</v>
      </c>
      <c r="Y1076" s="276"/>
      <c r="Z1076" s="276"/>
      <c r="AB1076" s="278" t="str">
        <f t="shared" si="152"/>
        <v/>
      </c>
    </row>
    <row r="1077" spans="1:28" s="277" customFormat="1" ht="20.25">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50"/>
        <v/>
      </c>
      <c r="T1077" s="225" t="str">
        <f ca="1">IF(B1077="","",IF(ISERROR(MATCH($J1077,SorP!$B$1:$B$6230,0)),"",INDIRECT("'SorP'!$A$"&amp;MATCH($J1077,SorP!$B$1:$B$6230,0))))</f>
        <v/>
      </c>
      <c r="U1077" s="241"/>
      <c r="V1077" s="275" t="e">
        <f>IF(C1077="",NA(),MATCH($B1077&amp;$C1077,'Smelter Look-up'!$J:$J,0))</f>
        <v>#N/A</v>
      </c>
      <c r="W1077" s="276"/>
      <c r="X1077" s="276">
        <f t="shared" ca="1" si="151"/>
        <v>0</v>
      </c>
      <c r="Y1077" s="276"/>
      <c r="Z1077" s="276"/>
      <c r="AB1077" s="278" t="str">
        <f t="shared" si="152"/>
        <v/>
      </c>
    </row>
    <row r="1078" spans="1:28" s="277" customFormat="1" ht="20.25">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50"/>
        <v/>
      </c>
      <c r="T1078" s="225" t="str">
        <f ca="1">IF(B1078="","",IF(ISERROR(MATCH($J1078,SorP!$B$1:$B$6230,0)),"",INDIRECT("'SorP'!$A$"&amp;MATCH($J1078,SorP!$B$1:$B$6230,0))))</f>
        <v/>
      </c>
      <c r="U1078" s="241"/>
      <c r="V1078" s="275" t="e">
        <f>IF(C1078="",NA(),MATCH($B1078&amp;$C1078,'Smelter Look-up'!$J:$J,0))</f>
        <v>#N/A</v>
      </c>
      <c r="W1078" s="276"/>
      <c r="X1078" s="276">
        <f t="shared" ca="1" si="151"/>
        <v>0</v>
      </c>
      <c r="Y1078" s="276"/>
      <c r="Z1078" s="276"/>
      <c r="AB1078" s="278" t="str">
        <f t="shared" si="152"/>
        <v/>
      </c>
    </row>
    <row r="1079" spans="1:28" s="277" customFormat="1" ht="20.25">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50"/>
        <v/>
      </c>
      <c r="T1079" s="225" t="str">
        <f ca="1">IF(B1079="","",IF(ISERROR(MATCH($J1079,SorP!$B$1:$B$6230,0)),"",INDIRECT("'SorP'!$A$"&amp;MATCH($J1079,SorP!$B$1:$B$6230,0))))</f>
        <v/>
      </c>
      <c r="U1079" s="241"/>
      <c r="V1079" s="275" t="e">
        <f>IF(C1079="",NA(),MATCH($B1079&amp;$C1079,'Smelter Look-up'!$J:$J,0))</f>
        <v>#N/A</v>
      </c>
      <c r="W1079" s="276"/>
      <c r="X1079" s="276">
        <f t="shared" ca="1" si="151"/>
        <v>0</v>
      </c>
      <c r="Y1079" s="276"/>
      <c r="Z1079" s="276"/>
      <c r="AB1079" s="278" t="str">
        <f t="shared" si="152"/>
        <v/>
      </c>
    </row>
    <row r="1080" spans="1:28" s="277" customFormat="1" ht="20.25">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50"/>
        <v/>
      </c>
      <c r="T1080" s="225" t="str">
        <f ca="1">IF(B1080="","",IF(ISERROR(MATCH($J1080,SorP!$B$1:$B$6230,0)),"",INDIRECT("'SorP'!$A$"&amp;MATCH($J1080,SorP!$B$1:$B$6230,0))))</f>
        <v/>
      </c>
      <c r="U1080" s="241"/>
      <c r="V1080" s="275" t="e">
        <f>IF(C1080="",NA(),MATCH($B1080&amp;$C1080,'Smelter Look-up'!$J:$J,0))</f>
        <v>#N/A</v>
      </c>
      <c r="W1080" s="276"/>
      <c r="X1080" s="276">
        <f t="shared" ca="1" si="151"/>
        <v>0</v>
      </c>
      <c r="Y1080" s="276"/>
      <c r="Z1080" s="276"/>
      <c r="AB1080" s="278" t="str">
        <f t="shared" si="152"/>
        <v/>
      </c>
    </row>
    <row r="1081" spans="1:28" s="277" customFormat="1" ht="20.25">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50"/>
        <v/>
      </c>
      <c r="T1081" s="225" t="str">
        <f ca="1">IF(B1081="","",IF(ISERROR(MATCH($J1081,SorP!$B$1:$B$6230,0)),"",INDIRECT("'SorP'!$A$"&amp;MATCH($J1081,SorP!$B$1:$B$6230,0))))</f>
        <v/>
      </c>
      <c r="U1081" s="241"/>
      <c r="V1081" s="275" t="e">
        <f>IF(C1081="",NA(),MATCH($B1081&amp;$C1081,'Smelter Look-up'!$J:$J,0))</f>
        <v>#N/A</v>
      </c>
      <c r="W1081" s="276"/>
      <c r="X1081" s="276">
        <f t="shared" ca="1" si="151"/>
        <v>0</v>
      </c>
      <c r="Y1081" s="276"/>
      <c r="Z1081" s="276"/>
      <c r="AB1081" s="278" t="str">
        <f t="shared" si="152"/>
        <v/>
      </c>
    </row>
    <row r="1082" spans="1:28" s="277" customFormat="1" ht="20.25">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150"/>
        <v/>
      </c>
      <c r="T1082" s="225" t="str">
        <f ca="1">IF(B1082="","",IF(ISERROR(MATCH($J1082,SorP!$B$1:$B$6230,0)),"",INDIRECT("'SorP'!$A$"&amp;MATCH($J1082,SorP!$B$1:$B$6230,0))))</f>
        <v/>
      </c>
      <c r="U1082" s="241"/>
      <c r="V1082" s="275" t="e">
        <f>IF(C1082="",NA(),MATCH($B1082&amp;$C1082,'Smelter Look-up'!$J:$J,0))</f>
        <v>#N/A</v>
      </c>
      <c r="W1082" s="276"/>
      <c r="X1082" s="276">
        <f t="shared" ca="1" si="151"/>
        <v>0</v>
      </c>
      <c r="Y1082" s="276"/>
      <c r="Z1082" s="276"/>
      <c r="AB1082" s="278" t="str">
        <f t="shared" si="152"/>
        <v/>
      </c>
    </row>
    <row r="1083" spans="1:28" s="277" customFormat="1" ht="20.25">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ref="S1083" ca="1" si="153">IF(B1083="","",IF(ISERROR(MATCH($E1083,CL,0)),"Unknown",INDIRECT("'C'!$A$"&amp;MATCH($E1083,CL,0)+1)))</f>
        <v/>
      </c>
      <c r="T1083" s="225" t="str">
        <f ca="1">IF(B1083="","",IF(ISERROR(MATCH($J1083,SorP!$B$1:$B$6230,0)),"",INDIRECT("'SorP'!$A$"&amp;MATCH($J1083,SorP!$B$1:$B$6230,0))))</f>
        <v/>
      </c>
      <c r="U1083" s="241"/>
      <c r="V1083" s="275" t="e">
        <f>IF(C1083="",NA(),MATCH($B1083&amp;$C1083,'Smelter Look-up'!$J:$J,0))</f>
        <v>#N/A</v>
      </c>
      <c r="W1083" s="276"/>
      <c r="X1083" s="276">
        <f t="shared" ref="X1083" ca="1" si="154">IF(AND(C1083="Smelter not listed",OR(LEN(D1083)=0,LEN(E1083)=0)),1,0)</f>
        <v>0</v>
      </c>
      <c r="Y1083" s="276"/>
      <c r="Z1083" s="276"/>
      <c r="AB1083" s="278" t="str">
        <f t="shared" ref="AB1083" si="155">B1083&amp;C1083</f>
        <v/>
      </c>
    </row>
    <row r="1084" spans="1:28" s="277" customFormat="1" ht="20.25">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ref="S1084:S1115" ca="1" si="156">IF(B1084="","",IF(ISERROR(MATCH($E1084,CL,0)),"Unknown",INDIRECT("'C'!$A$"&amp;MATCH($E1084,CL,0)+1)))</f>
        <v/>
      </c>
      <c r="T1084" s="225" t="str">
        <f ca="1">IF(B1084="","",IF(ISERROR(MATCH($J1084,SorP!$B$1:$B$6230,0)),"",INDIRECT("'SorP'!$A$"&amp;MATCH($J1084,SorP!$B$1:$B$6230,0))))</f>
        <v/>
      </c>
      <c r="U1084" s="241"/>
      <c r="V1084" s="275" t="e">
        <f>IF(C1084="",NA(),MATCH($B1084&amp;$C1084,'Smelter Look-up'!$J:$J,0))</f>
        <v>#N/A</v>
      </c>
      <c r="W1084" s="276"/>
      <c r="X1084" s="276">
        <f t="shared" ref="X1084:X1115" ca="1" si="157">IF(AND(C1084="Smelter not listed",OR(LEN(D1084)=0,LEN(E1084)=0)),1,0)</f>
        <v>0</v>
      </c>
      <c r="Y1084" s="276"/>
      <c r="Z1084" s="276"/>
      <c r="AB1084" s="278" t="str">
        <f t="shared" ref="AB1084:AB1115" si="158">B1084&amp;C1084</f>
        <v/>
      </c>
    </row>
    <row r="1085" spans="1:28" s="277" customFormat="1" ht="20.25">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56"/>
        <v/>
      </c>
      <c r="T1085" s="225" t="str">
        <f ca="1">IF(B1085="","",IF(ISERROR(MATCH($J1085,SorP!$B$1:$B$6230,0)),"",INDIRECT("'SorP'!$A$"&amp;MATCH($J1085,SorP!$B$1:$B$6230,0))))</f>
        <v/>
      </c>
      <c r="U1085" s="241"/>
      <c r="V1085" s="275" t="e">
        <f>IF(C1085="",NA(),MATCH($B1085&amp;$C1085,'Smelter Look-up'!$J:$J,0))</f>
        <v>#N/A</v>
      </c>
      <c r="W1085" s="276"/>
      <c r="X1085" s="276">
        <f t="shared" ca="1" si="157"/>
        <v>0</v>
      </c>
      <c r="Y1085" s="276"/>
      <c r="Z1085" s="276"/>
      <c r="AB1085" s="278" t="str">
        <f t="shared" si="158"/>
        <v/>
      </c>
    </row>
    <row r="1086" spans="1:28" s="277" customFormat="1" ht="20.25">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56"/>
        <v/>
      </c>
      <c r="T1086" s="225" t="str">
        <f ca="1">IF(B1086="","",IF(ISERROR(MATCH($J1086,SorP!$B$1:$B$6230,0)),"",INDIRECT("'SorP'!$A$"&amp;MATCH($J1086,SorP!$B$1:$B$6230,0))))</f>
        <v/>
      </c>
      <c r="U1086" s="241"/>
      <c r="V1086" s="275" t="e">
        <f>IF(C1086="",NA(),MATCH($B1086&amp;$C1086,'Smelter Look-up'!$J:$J,0))</f>
        <v>#N/A</v>
      </c>
      <c r="W1086" s="276"/>
      <c r="X1086" s="276">
        <f t="shared" ca="1" si="157"/>
        <v>0</v>
      </c>
      <c r="Y1086" s="276"/>
      <c r="Z1086" s="276"/>
      <c r="AB1086" s="278" t="str">
        <f t="shared" si="158"/>
        <v/>
      </c>
    </row>
    <row r="1087" spans="1:28" s="277" customFormat="1" ht="20.25">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56"/>
        <v/>
      </c>
      <c r="T1087" s="225" t="str">
        <f ca="1">IF(B1087="","",IF(ISERROR(MATCH($J1087,SorP!$B$1:$B$6230,0)),"",INDIRECT("'SorP'!$A$"&amp;MATCH($J1087,SorP!$B$1:$B$6230,0))))</f>
        <v/>
      </c>
      <c r="U1087" s="241"/>
      <c r="V1087" s="275" t="e">
        <f>IF(C1087="",NA(),MATCH($B1087&amp;$C1087,'Smelter Look-up'!$J:$J,0))</f>
        <v>#N/A</v>
      </c>
      <c r="W1087" s="276"/>
      <c r="X1087" s="276">
        <f t="shared" ca="1" si="157"/>
        <v>0</v>
      </c>
      <c r="Y1087" s="276"/>
      <c r="Z1087" s="276"/>
      <c r="AB1087" s="278" t="str">
        <f t="shared" si="158"/>
        <v/>
      </c>
    </row>
    <row r="1088" spans="1:28" s="277" customFormat="1" ht="20.25">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56"/>
        <v/>
      </c>
      <c r="T1088" s="225" t="str">
        <f ca="1">IF(B1088="","",IF(ISERROR(MATCH($J1088,SorP!$B$1:$B$6230,0)),"",INDIRECT("'SorP'!$A$"&amp;MATCH($J1088,SorP!$B$1:$B$6230,0))))</f>
        <v/>
      </c>
      <c r="U1088" s="241"/>
      <c r="V1088" s="275" t="e">
        <f>IF(C1088="",NA(),MATCH($B1088&amp;$C1088,'Smelter Look-up'!$J:$J,0))</f>
        <v>#N/A</v>
      </c>
      <c r="W1088" s="276"/>
      <c r="X1088" s="276">
        <f t="shared" ca="1" si="157"/>
        <v>0</v>
      </c>
      <c r="Y1088" s="276"/>
      <c r="Z1088" s="276"/>
      <c r="AB1088" s="278" t="str">
        <f t="shared" si="158"/>
        <v/>
      </c>
    </row>
    <row r="1089" spans="1:28" s="277" customFormat="1" ht="20.25">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56"/>
        <v/>
      </c>
      <c r="T1089" s="225" t="str">
        <f ca="1">IF(B1089="","",IF(ISERROR(MATCH($J1089,SorP!$B$1:$B$6230,0)),"",INDIRECT("'SorP'!$A$"&amp;MATCH($J1089,SorP!$B$1:$B$6230,0))))</f>
        <v/>
      </c>
      <c r="U1089" s="241"/>
      <c r="V1089" s="275" t="e">
        <f>IF(C1089="",NA(),MATCH($B1089&amp;$C1089,'Smelter Look-up'!$J:$J,0))</f>
        <v>#N/A</v>
      </c>
      <c r="W1089" s="276"/>
      <c r="X1089" s="276">
        <f t="shared" ca="1" si="157"/>
        <v>0</v>
      </c>
      <c r="Y1089" s="276"/>
      <c r="Z1089" s="276"/>
      <c r="AB1089" s="278" t="str">
        <f t="shared" si="158"/>
        <v/>
      </c>
    </row>
    <row r="1090" spans="1:28" s="277" customFormat="1" ht="20.25">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56"/>
        <v/>
      </c>
      <c r="T1090" s="225" t="str">
        <f ca="1">IF(B1090="","",IF(ISERROR(MATCH($J1090,SorP!$B$1:$B$6230,0)),"",INDIRECT("'SorP'!$A$"&amp;MATCH($J1090,SorP!$B$1:$B$6230,0))))</f>
        <v/>
      </c>
      <c r="U1090" s="241"/>
      <c r="V1090" s="275" t="e">
        <f>IF(C1090="",NA(),MATCH($B1090&amp;$C1090,'Smelter Look-up'!$J:$J,0))</f>
        <v>#N/A</v>
      </c>
      <c r="W1090" s="276"/>
      <c r="X1090" s="276">
        <f t="shared" ca="1" si="157"/>
        <v>0</v>
      </c>
      <c r="Y1090" s="276"/>
      <c r="Z1090" s="276"/>
      <c r="AB1090" s="278" t="str">
        <f t="shared" si="158"/>
        <v/>
      </c>
    </row>
    <row r="1091" spans="1:28" s="277" customFormat="1" ht="20.25">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56"/>
        <v/>
      </c>
      <c r="T1091" s="225" t="str">
        <f ca="1">IF(B1091="","",IF(ISERROR(MATCH($J1091,SorP!$B$1:$B$6230,0)),"",INDIRECT("'SorP'!$A$"&amp;MATCH($J1091,SorP!$B$1:$B$6230,0))))</f>
        <v/>
      </c>
      <c r="U1091" s="241"/>
      <c r="V1091" s="275" t="e">
        <f>IF(C1091="",NA(),MATCH($B1091&amp;$C1091,'Smelter Look-up'!$J:$J,0))</f>
        <v>#N/A</v>
      </c>
      <c r="W1091" s="276"/>
      <c r="X1091" s="276">
        <f t="shared" ca="1" si="157"/>
        <v>0</v>
      </c>
      <c r="Y1091" s="276"/>
      <c r="Z1091" s="276"/>
      <c r="AB1091" s="278" t="str">
        <f t="shared" si="158"/>
        <v/>
      </c>
    </row>
    <row r="1092" spans="1:28" s="277" customFormat="1" ht="20.25">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56"/>
        <v/>
      </c>
      <c r="T1092" s="225" t="str">
        <f ca="1">IF(B1092="","",IF(ISERROR(MATCH($J1092,SorP!$B$1:$B$6230,0)),"",INDIRECT("'SorP'!$A$"&amp;MATCH($J1092,SorP!$B$1:$B$6230,0))))</f>
        <v/>
      </c>
      <c r="U1092" s="241"/>
      <c r="V1092" s="275" t="e">
        <f>IF(C1092="",NA(),MATCH($B1092&amp;$C1092,'Smelter Look-up'!$J:$J,0))</f>
        <v>#N/A</v>
      </c>
      <c r="W1092" s="276"/>
      <c r="X1092" s="276">
        <f t="shared" ca="1" si="157"/>
        <v>0</v>
      </c>
      <c r="Y1092" s="276"/>
      <c r="Z1092" s="276"/>
      <c r="AB1092" s="278" t="str">
        <f t="shared" si="158"/>
        <v/>
      </c>
    </row>
    <row r="1093" spans="1:28" s="277" customFormat="1" ht="20.25">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56"/>
        <v/>
      </c>
      <c r="T1093" s="225" t="str">
        <f ca="1">IF(B1093="","",IF(ISERROR(MATCH($J1093,SorP!$B$1:$B$6230,0)),"",INDIRECT("'SorP'!$A$"&amp;MATCH($J1093,SorP!$B$1:$B$6230,0))))</f>
        <v/>
      </c>
      <c r="U1093" s="241"/>
      <c r="V1093" s="275" t="e">
        <f>IF(C1093="",NA(),MATCH($B1093&amp;$C1093,'Smelter Look-up'!$J:$J,0))</f>
        <v>#N/A</v>
      </c>
      <c r="W1093" s="276"/>
      <c r="X1093" s="276">
        <f t="shared" ca="1" si="157"/>
        <v>0</v>
      </c>
      <c r="Y1093" s="276"/>
      <c r="Z1093" s="276"/>
      <c r="AB1093" s="278" t="str">
        <f t="shared" si="158"/>
        <v/>
      </c>
    </row>
    <row r="1094" spans="1:28" s="277" customFormat="1" ht="20.25">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56"/>
        <v/>
      </c>
      <c r="T1094" s="225" t="str">
        <f ca="1">IF(B1094="","",IF(ISERROR(MATCH($J1094,SorP!$B$1:$B$6230,0)),"",INDIRECT("'SorP'!$A$"&amp;MATCH($J1094,SorP!$B$1:$B$6230,0))))</f>
        <v/>
      </c>
      <c r="U1094" s="241"/>
      <c r="V1094" s="275" t="e">
        <f>IF(C1094="",NA(),MATCH($B1094&amp;$C1094,'Smelter Look-up'!$J:$J,0))</f>
        <v>#N/A</v>
      </c>
      <c r="W1094" s="276"/>
      <c r="X1094" s="276">
        <f t="shared" ca="1" si="157"/>
        <v>0</v>
      </c>
      <c r="Y1094" s="276"/>
      <c r="Z1094" s="276"/>
      <c r="AB1094" s="278" t="str">
        <f t="shared" si="158"/>
        <v/>
      </c>
    </row>
    <row r="1095" spans="1:28" s="277" customFormat="1" ht="20.25">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56"/>
        <v/>
      </c>
      <c r="T1095" s="225" t="str">
        <f ca="1">IF(B1095="","",IF(ISERROR(MATCH($J1095,SorP!$B$1:$B$6230,0)),"",INDIRECT("'SorP'!$A$"&amp;MATCH($J1095,SorP!$B$1:$B$6230,0))))</f>
        <v/>
      </c>
      <c r="U1095" s="241"/>
      <c r="V1095" s="275" t="e">
        <f>IF(C1095="",NA(),MATCH($B1095&amp;$C1095,'Smelter Look-up'!$J:$J,0))</f>
        <v>#N/A</v>
      </c>
      <c r="W1095" s="276"/>
      <c r="X1095" s="276">
        <f t="shared" ca="1" si="157"/>
        <v>0</v>
      </c>
      <c r="Y1095" s="276"/>
      <c r="Z1095" s="276"/>
      <c r="AB1095" s="278" t="str">
        <f t="shared" si="158"/>
        <v/>
      </c>
    </row>
    <row r="1096" spans="1:28" s="277" customFormat="1" ht="20.25">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56"/>
        <v/>
      </c>
      <c r="T1096" s="225" t="str">
        <f ca="1">IF(B1096="","",IF(ISERROR(MATCH($J1096,SorP!$B$1:$B$6230,0)),"",INDIRECT("'SorP'!$A$"&amp;MATCH($J1096,SorP!$B$1:$B$6230,0))))</f>
        <v/>
      </c>
      <c r="U1096" s="241"/>
      <c r="V1096" s="275" t="e">
        <f>IF(C1096="",NA(),MATCH($B1096&amp;$C1096,'Smelter Look-up'!$J:$J,0))</f>
        <v>#N/A</v>
      </c>
      <c r="W1096" s="276"/>
      <c r="X1096" s="276">
        <f t="shared" ca="1" si="157"/>
        <v>0</v>
      </c>
      <c r="Y1096" s="276"/>
      <c r="Z1096" s="276"/>
      <c r="AB1096" s="278" t="str">
        <f t="shared" si="158"/>
        <v/>
      </c>
    </row>
    <row r="1097" spans="1:28" s="277" customFormat="1" ht="20.25">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56"/>
        <v/>
      </c>
      <c r="T1097" s="225" t="str">
        <f ca="1">IF(B1097="","",IF(ISERROR(MATCH($J1097,SorP!$B$1:$B$6230,0)),"",INDIRECT("'SorP'!$A$"&amp;MATCH($J1097,SorP!$B$1:$B$6230,0))))</f>
        <v/>
      </c>
      <c r="U1097" s="241"/>
      <c r="V1097" s="275" t="e">
        <f>IF(C1097="",NA(),MATCH($B1097&amp;$C1097,'Smelter Look-up'!$J:$J,0))</f>
        <v>#N/A</v>
      </c>
      <c r="W1097" s="276"/>
      <c r="X1097" s="276">
        <f t="shared" ca="1" si="157"/>
        <v>0</v>
      </c>
      <c r="Y1097" s="276"/>
      <c r="Z1097" s="276"/>
      <c r="AB1097" s="278" t="str">
        <f t="shared" si="158"/>
        <v/>
      </c>
    </row>
    <row r="1098" spans="1:28" s="277" customFormat="1" ht="20.25">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56"/>
        <v/>
      </c>
      <c r="T1098" s="225" t="str">
        <f ca="1">IF(B1098="","",IF(ISERROR(MATCH($J1098,SorP!$B$1:$B$6230,0)),"",INDIRECT("'SorP'!$A$"&amp;MATCH($J1098,SorP!$B$1:$B$6230,0))))</f>
        <v/>
      </c>
      <c r="U1098" s="241"/>
      <c r="V1098" s="275" t="e">
        <f>IF(C1098="",NA(),MATCH($B1098&amp;$C1098,'Smelter Look-up'!$J:$J,0))</f>
        <v>#N/A</v>
      </c>
      <c r="W1098" s="276"/>
      <c r="X1098" s="276">
        <f t="shared" ca="1" si="157"/>
        <v>0</v>
      </c>
      <c r="Y1098" s="276"/>
      <c r="Z1098" s="276"/>
      <c r="AB1098" s="278" t="str">
        <f t="shared" si="158"/>
        <v/>
      </c>
    </row>
    <row r="1099" spans="1:28" s="277" customFormat="1" ht="20.25">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56"/>
        <v/>
      </c>
      <c r="T1099" s="225" t="str">
        <f ca="1">IF(B1099="","",IF(ISERROR(MATCH($J1099,SorP!$B$1:$B$6230,0)),"",INDIRECT("'SorP'!$A$"&amp;MATCH($J1099,SorP!$B$1:$B$6230,0))))</f>
        <v/>
      </c>
      <c r="U1099" s="241"/>
      <c r="V1099" s="275" t="e">
        <f>IF(C1099="",NA(),MATCH($B1099&amp;$C1099,'Smelter Look-up'!$J:$J,0))</f>
        <v>#N/A</v>
      </c>
      <c r="W1099" s="276"/>
      <c r="X1099" s="276">
        <f t="shared" ca="1" si="157"/>
        <v>0</v>
      </c>
      <c r="Y1099" s="276"/>
      <c r="Z1099" s="276"/>
      <c r="AB1099" s="278" t="str">
        <f t="shared" si="158"/>
        <v/>
      </c>
    </row>
    <row r="1100" spans="1:28" s="277" customFormat="1" ht="20.25">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56"/>
        <v/>
      </c>
      <c r="T1100" s="225" t="str">
        <f ca="1">IF(B1100="","",IF(ISERROR(MATCH($J1100,SorP!$B$1:$B$6230,0)),"",INDIRECT("'SorP'!$A$"&amp;MATCH($J1100,SorP!$B$1:$B$6230,0))))</f>
        <v/>
      </c>
      <c r="U1100" s="241"/>
      <c r="V1100" s="275" t="e">
        <f>IF(C1100="",NA(),MATCH($B1100&amp;$C1100,'Smelter Look-up'!$J:$J,0))</f>
        <v>#N/A</v>
      </c>
      <c r="W1100" s="276"/>
      <c r="X1100" s="276">
        <f t="shared" ca="1" si="157"/>
        <v>0</v>
      </c>
      <c r="Y1100" s="276"/>
      <c r="Z1100" s="276"/>
      <c r="AB1100" s="278" t="str">
        <f t="shared" si="158"/>
        <v/>
      </c>
    </row>
    <row r="1101" spans="1:28" s="277" customFormat="1" ht="20.25">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56"/>
        <v/>
      </c>
      <c r="T1101" s="225" t="str">
        <f ca="1">IF(B1101="","",IF(ISERROR(MATCH($J1101,SorP!$B$1:$B$6230,0)),"",INDIRECT("'SorP'!$A$"&amp;MATCH($J1101,SorP!$B$1:$B$6230,0))))</f>
        <v/>
      </c>
      <c r="U1101" s="241"/>
      <c r="V1101" s="275" t="e">
        <f>IF(C1101="",NA(),MATCH($B1101&amp;$C1101,'Smelter Look-up'!$J:$J,0))</f>
        <v>#N/A</v>
      </c>
      <c r="W1101" s="276"/>
      <c r="X1101" s="276">
        <f t="shared" ca="1" si="157"/>
        <v>0</v>
      </c>
      <c r="Y1101" s="276"/>
      <c r="Z1101" s="276"/>
      <c r="AB1101" s="278" t="str">
        <f t="shared" si="158"/>
        <v/>
      </c>
    </row>
    <row r="1102" spans="1:28" s="277" customFormat="1" ht="20.25">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56"/>
        <v/>
      </c>
      <c r="T1102" s="225" t="str">
        <f ca="1">IF(B1102="","",IF(ISERROR(MATCH($J1102,SorP!$B$1:$B$6230,0)),"",INDIRECT("'SorP'!$A$"&amp;MATCH($J1102,SorP!$B$1:$B$6230,0))))</f>
        <v/>
      </c>
      <c r="U1102" s="241"/>
      <c r="V1102" s="275" t="e">
        <f>IF(C1102="",NA(),MATCH($B1102&amp;$C1102,'Smelter Look-up'!$J:$J,0))</f>
        <v>#N/A</v>
      </c>
      <c r="W1102" s="276"/>
      <c r="X1102" s="276">
        <f t="shared" ca="1" si="157"/>
        <v>0</v>
      </c>
      <c r="Y1102" s="276"/>
      <c r="Z1102" s="276"/>
      <c r="AB1102" s="278" t="str">
        <f t="shared" si="158"/>
        <v/>
      </c>
    </row>
    <row r="1103" spans="1:28" s="277" customFormat="1" ht="20.25">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56"/>
        <v/>
      </c>
      <c r="T1103" s="225" t="str">
        <f ca="1">IF(B1103="","",IF(ISERROR(MATCH($J1103,SorP!$B$1:$B$6230,0)),"",INDIRECT("'SorP'!$A$"&amp;MATCH($J1103,SorP!$B$1:$B$6230,0))))</f>
        <v/>
      </c>
      <c r="U1103" s="241"/>
      <c r="V1103" s="275" t="e">
        <f>IF(C1103="",NA(),MATCH($B1103&amp;$C1103,'Smelter Look-up'!$J:$J,0))</f>
        <v>#N/A</v>
      </c>
      <c r="W1103" s="276"/>
      <c r="X1103" s="276">
        <f t="shared" ca="1" si="157"/>
        <v>0</v>
      </c>
      <c r="Y1103" s="276"/>
      <c r="Z1103" s="276"/>
      <c r="AB1103" s="278" t="str">
        <f t="shared" si="158"/>
        <v/>
      </c>
    </row>
    <row r="1104" spans="1:28" s="277" customFormat="1" ht="20.25">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156"/>
        <v/>
      </c>
      <c r="T1104" s="225" t="str">
        <f ca="1">IF(B1104="","",IF(ISERROR(MATCH($J1104,SorP!$B$1:$B$6230,0)),"",INDIRECT("'SorP'!$A$"&amp;MATCH($J1104,SorP!$B$1:$B$6230,0))))</f>
        <v/>
      </c>
      <c r="U1104" s="241"/>
      <c r="V1104" s="275" t="e">
        <f>IF(C1104="",NA(),MATCH($B1104&amp;$C1104,'Smelter Look-up'!$J:$J,0))</f>
        <v>#N/A</v>
      </c>
      <c r="W1104" s="276"/>
      <c r="X1104" s="276">
        <f t="shared" ca="1" si="157"/>
        <v>0</v>
      </c>
      <c r="Y1104" s="276"/>
      <c r="Z1104" s="276"/>
      <c r="AB1104" s="278" t="str">
        <f t="shared" si="158"/>
        <v/>
      </c>
    </row>
    <row r="1105" spans="1:28" s="277" customFormat="1" ht="20.25">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56"/>
        <v/>
      </c>
      <c r="T1105" s="225" t="str">
        <f ca="1">IF(B1105="","",IF(ISERROR(MATCH($J1105,SorP!$B$1:$B$6230,0)),"",INDIRECT("'SorP'!$A$"&amp;MATCH($J1105,SorP!$B$1:$B$6230,0))))</f>
        <v/>
      </c>
      <c r="U1105" s="241"/>
      <c r="V1105" s="275" t="e">
        <f>IF(C1105="",NA(),MATCH($B1105&amp;$C1105,'Smelter Look-up'!$J:$J,0))</f>
        <v>#N/A</v>
      </c>
      <c r="W1105" s="276"/>
      <c r="X1105" s="276">
        <f t="shared" ca="1" si="157"/>
        <v>0</v>
      </c>
      <c r="Y1105" s="276"/>
      <c r="Z1105" s="276"/>
      <c r="AB1105" s="278" t="str">
        <f t="shared" si="158"/>
        <v/>
      </c>
    </row>
    <row r="1106" spans="1:28" s="277" customFormat="1" ht="20.25">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156"/>
        <v/>
      </c>
      <c r="T1106" s="225" t="str">
        <f ca="1">IF(B1106="","",IF(ISERROR(MATCH($J1106,SorP!$B$1:$B$6230,0)),"",INDIRECT("'SorP'!$A$"&amp;MATCH($J1106,SorP!$B$1:$B$6230,0))))</f>
        <v/>
      </c>
      <c r="U1106" s="241"/>
      <c r="V1106" s="275" t="e">
        <f>IF(C1106="",NA(),MATCH($B1106&amp;$C1106,'Smelter Look-up'!$J:$J,0))</f>
        <v>#N/A</v>
      </c>
      <c r="W1106" s="276"/>
      <c r="X1106" s="276">
        <f t="shared" ca="1" si="157"/>
        <v>0</v>
      </c>
      <c r="Y1106" s="276"/>
      <c r="Z1106" s="276"/>
      <c r="AB1106" s="278" t="str">
        <f t="shared" si="158"/>
        <v/>
      </c>
    </row>
    <row r="1107" spans="1:28" s="277" customFormat="1" ht="20.25">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56"/>
        <v/>
      </c>
      <c r="T1107" s="225" t="str">
        <f ca="1">IF(B1107="","",IF(ISERROR(MATCH($J1107,SorP!$B$1:$B$6230,0)),"",INDIRECT("'SorP'!$A$"&amp;MATCH($J1107,SorP!$B$1:$B$6230,0))))</f>
        <v/>
      </c>
      <c r="U1107" s="241"/>
      <c r="V1107" s="275" t="e">
        <f>IF(C1107="",NA(),MATCH($B1107&amp;$C1107,'Smelter Look-up'!$J:$J,0))</f>
        <v>#N/A</v>
      </c>
      <c r="W1107" s="276"/>
      <c r="X1107" s="276">
        <f t="shared" ca="1" si="157"/>
        <v>0</v>
      </c>
      <c r="Y1107" s="276"/>
      <c r="Z1107" s="276"/>
      <c r="AB1107" s="278" t="str">
        <f t="shared" si="158"/>
        <v/>
      </c>
    </row>
    <row r="1108" spans="1:28" s="277" customFormat="1" ht="20.25">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56"/>
        <v/>
      </c>
      <c r="T1108" s="225" t="str">
        <f ca="1">IF(B1108="","",IF(ISERROR(MATCH($J1108,SorP!$B$1:$B$6230,0)),"",INDIRECT("'SorP'!$A$"&amp;MATCH($J1108,SorP!$B$1:$B$6230,0))))</f>
        <v/>
      </c>
      <c r="U1108" s="241"/>
      <c r="V1108" s="275" t="e">
        <f>IF(C1108="",NA(),MATCH($B1108&amp;$C1108,'Smelter Look-up'!$J:$J,0))</f>
        <v>#N/A</v>
      </c>
      <c r="W1108" s="276"/>
      <c r="X1108" s="276">
        <f t="shared" ca="1" si="157"/>
        <v>0</v>
      </c>
      <c r="Y1108" s="276"/>
      <c r="Z1108" s="276"/>
      <c r="AB1108" s="278" t="str">
        <f t="shared" si="158"/>
        <v/>
      </c>
    </row>
    <row r="1109" spans="1:28" s="277" customFormat="1" ht="20.25">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56"/>
        <v/>
      </c>
      <c r="T1109" s="225" t="str">
        <f ca="1">IF(B1109="","",IF(ISERROR(MATCH($J1109,SorP!$B$1:$B$6230,0)),"",INDIRECT("'SorP'!$A$"&amp;MATCH($J1109,SorP!$B$1:$B$6230,0))))</f>
        <v/>
      </c>
      <c r="U1109" s="241"/>
      <c r="V1109" s="275" t="e">
        <f>IF(C1109="",NA(),MATCH($B1109&amp;$C1109,'Smelter Look-up'!$J:$J,0))</f>
        <v>#N/A</v>
      </c>
      <c r="W1109" s="276"/>
      <c r="X1109" s="276">
        <f t="shared" ca="1" si="157"/>
        <v>0</v>
      </c>
      <c r="Y1109" s="276"/>
      <c r="Z1109" s="276"/>
      <c r="AB1109" s="278" t="str">
        <f t="shared" si="158"/>
        <v/>
      </c>
    </row>
    <row r="1110" spans="1:28" s="277" customFormat="1" ht="20.25">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56"/>
        <v/>
      </c>
      <c r="T1110" s="225" t="str">
        <f ca="1">IF(B1110="","",IF(ISERROR(MATCH($J1110,SorP!$B$1:$B$6230,0)),"",INDIRECT("'SorP'!$A$"&amp;MATCH($J1110,SorP!$B$1:$B$6230,0))))</f>
        <v/>
      </c>
      <c r="U1110" s="241"/>
      <c r="V1110" s="275" t="e">
        <f>IF(C1110="",NA(),MATCH($B1110&amp;$C1110,'Smelter Look-up'!$J:$J,0))</f>
        <v>#N/A</v>
      </c>
      <c r="W1110" s="276"/>
      <c r="X1110" s="276">
        <f t="shared" ca="1" si="157"/>
        <v>0</v>
      </c>
      <c r="Y1110" s="276"/>
      <c r="Z1110" s="276"/>
      <c r="AB1110" s="278" t="str">
        <f t="shared" si="158"/>
        <v/>
      </c>
    </row>
    <row r="1111" spans="1:28" s="277" customFormat="1" ht="20.25">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56"/>
        <v/>
      </c>
      <c r="T1111" s="225" t="str">
        <f ca="1">IF(B1111="","",IF(ISERROR(MATCH($J1111,SorP!$B$1:$B$6230,0)),"",INDIRECT("'SorP'!$A$"&amp;MATCH($J1111,SorP!$B$1:$B$6230,0))))</f>
        <v/>
      </c>
      <c r="U1111" s="241"/>
      <c r="V1111" s="275" t="e">
        <f>IF(C1111="",NA(),MATCH($B1111&amp;$C1111,'Smelter Look-up'!$J:$J,0))</f>
        <v>#N/A</v>
      </c>
      <c r="W1111" s="276"/>
      <c r="X1111" s="276">
        <f t="shared" ca="1" si="157"/>
        <v>0</v>
      </c>
      <c r="Y1111" s="276"/>
      <c r="Z1111" s="276"/>
      <c r="AB1111" s="278" t="str">
        <f t="shared" si="158"/>
        <v/>
      </c>
    </row>
    <row r="1112" spans="1:28" s="277" customFormat="1" ht="20.25">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56"/>
        <v/>
      </c>
      <c r="T1112" s="225" t="str">
        <f ca="1">IF(B1112="","",IF(ISERROR(MATCH($J1112,SorP!$B$1:$B$6230,0)),"",INDIRECT("'SorP'!$A$"&amp;MATCH($J1112,SorP!$B$1:$B$6230,0))))</f>
        <v/>
      </c>
      <c r="U1112" s="241"/>
      <c r="V1112" s="275" t="e">
        <f>IF(C1112="",NA(),MATCH($B1112&amp;$C1112,'Smelter Look-up'!$J:$J,0))</f>
        <v>#N/A</v>
      </c>
      <c r="W1112" s="276"/>
      <c r="X1112" s="276">
        <f t="shared" ca="1" si="157"/>
        <v>0</v>
      </c>
      <c r="Y1112" s="276"/>
      <c r="Z1112" s="276"/>
      <c r="AB1112" s="278" t="str">
        <f t="shared" si="158"/>
        <v/>
      </c>
    </row>
    <row r="1113" spans="1:28" s="277" customFormat="1" ht="20.25">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56"/>
        <v/>
      </c>
      <c r="T1113" s="225" t="str">
        <f ca="1">IF(B1113="","",IF(ISERROR(MATCH($J1113,SorP!$B$1:$B$6230,0)),"",INDIRECT("'SorP'!$A$"&amp;MATCH($J1113,SorP!$B$1:$B$6230,0))))</f>
        <v/>
      </c>
      <c r="U1113" s="241"/>
      <c r="V1113" s="275" t="e">
        <f>IF(C1113="",NA(),MATCH($B1113&amp;$C1113,'Smelter Look-up'!$J:$J,0))</f>
        <v>#N/A</v>
      </c>
      <c r="W1113" s="276"/>
      <c r="X1113" s="276">
        <f t="shared" ca="1" si="157"/>
        <v>0</v>
      </c>
      <c r="Y1113" s="276"/>
      <c r="Z1113" s="276"/>
      <c r="AB1113" s="278" t="str">
        <f t="shared" si="158"/>
        <v/>
      </c>
    </row>
    <row r="1114" spans="1:28" s="277" customFormat="1" ht="20.25">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56"/>
        <v/>
      </c>
      <c r="T1114" s="225" t="str">
        <f ca="1">IF(B1114="","",IF(ISERROR(MATCH($J1114,SorP!$B$1:$B$6230,0)),"",INDIRECT("'SorP'!$A$"&amp;MATCH($J1114,SorP!$B$1:$B$6230,0))))</f>
        <v/>
      </c>
      <c r="U1114" s="241"/>
      <c r="V1114" s="275" t="e">
        <f>IF(C1114="",NA(),MATCH($B1114&amp;$C1114,'Smelter Look-up'!$J:$J,0))</f>
        <v>#N/A</v>
      </c>
      <c r="W1114" s="276"/>
      <c r="X1114" s="276">
        <f t="shared" ca="1" si="157"/>
        <v>0</v>
      </c>
      <c r="Y1114" s="276"/>
      <c r="Z1114" s="276"/>
      <c r="AB1114" s="278" t="str">
        <f t="shared" si="158"/>
        <v/>
      </c>
    </row>
    <row r="1115" spans="1:28" s="277" customFormat="1" ht="20.25">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156"/>
        <v/>
      </c>
      <c r="T1115" s="225" t="str">
        <f ca="1">IF(B1115="","",IF(ISERROR(MATCH($J1115,SorP!$B$1:$B$6230,0)),"",INDIRECT("'SorP'!$A$"&amp;MATCH($J1115,SorP!$B$1:$B$6230,0))))</f>
        <v/>
      </c>
      <c r="U1115" s="241"/>
      <c r="V1115" s="275" t="e">
        <f>IF(C1115="",NA(),MATCH($B1115&amp;$C1115,'Smelter Look-up'!$J:$J,0))</f>
        <v>#N/A</v>
      </c>
      <c r="W1115" s="276"/>
      <c r="X1115" s="276">
        <f t="shared" ca="1" si="157"/>
        <v>0</v>
      </c>
      <c r="Y1115" s="276"/>
      <c r="Z1115" s="276"/>
      <c r="AB1115" s="278" t="str">
        <f t="shared" si="158"/>
        <v/>
      </c>
    </row>
    <row r="1116" spans="1:28" s="277" customFormat="1" ht="20.25">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ref="S1116:S1146" ca="1" si="159">IF(B1116="","",IF(ISERROR(MATCH($E1116,CL,0)),"Unknown",INDIRECT("'C'!$A$"&amp;MATCH($E1116,CL,0)+1)))</f>
        <v/>
      </c>
      <c r="T1116" s="225" t="str">
        <f ca="1">IF(B1116="","",IF(ISERROR(MATCH($J1116,SorP!$B$1:$B$6230,0)),"",INDIRECT("'SorP'!$A$"&amp;MATCH($J1116,SorP!$B$1:$B$6230,0))))</f>
        <v/>
      </c>
      <c r="U1116" s="241"/>
      <c r="V1116" s="275" t="e">
        <f>IF(C1116="",NA(),MATCH($B1116&amp;$C1116,'Smelter Look-up'!$J:$J,0))</f>
        <v>#N/A</v>
      </c>
      <c r="W1116" s="276"/>
      <c r="X1116" s="276">
        <f t="shared" ref="X1116:X1146" ca="1" si="160">IF(AND(C1116="Smelter not listed",OR(LEN(D1116)=0,LEN(E1116)=0)),1,0)</f>
        <v>0</v>
      </c>
      <c r="Y1116" s="276"/>
      <c r="Z1116" s="276"/>
      <c r="AB1116" s="278" t="str">
        <f t="shared" ref="AB1116:AB1146" si="161">B1116&amp;C1116</f>
        <v/>
      </c>
    </row>
    <row r="1117" spans="1:28" s="277" customFormat="1" ht="20.25">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59"/>
        <v/>
      </c>
      <c r="T1117" s="225" t="str">
        <f ca="1">IF(B1117="","",IF(ISERROR(MATCH($J1117,SorP!$B$1:$B$6230,0)),"",INDIRECT("'SorP'!$A$"&amp;MATCH($J1117,SorP!$B$1:$B$6230,0))))</f>
        <v/>
      </c>
      <c r="U1117" s="241"/>
      <c r="V1117" s="275" t="e">
        <f>IF(C1117="",NA(),MATCH($B1117&amp;$C1117,'Smelter Look-up'!$J:$J,0))</f>
        <v>#N/A</v>
      </c>
      <c r="W1117" s="276"/>
      <c r="X1117" s="276">
        <f t="shared" ca="1" si="160"/>
        <v>0</v>
      </c>
      <c r="Y1117" s="276"/>
      <c r="Z1117" s="276"/>
      <c r="AB1117" s="278" t="str">
        <f t="shared" si="161"/>
        <v/>
      </c>
    </row>
    <row r="1118" spans="1:28" s="277" customFormat="1" ht="20.25">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59"/>
        <v/>
      </c>
      <c r="T1118" s="225" t="str">
        <f ca="1">IF(B1118="","",IF(ISERROR(MATCH($J1118,SorP!$B$1:$B$6230,0)),"",INDIRECT("'SorP'!$A$"&amp;MATCH($J1118,SorP!$B$1:$B$6230,0))))</f>
        <v/>
      </c>
      <c r="U1118" s="241"/>
      <c r="V1118" s="275" t="e">
        <f>IF(C1118="",NA(),MATCH($B1118&amp;$C1118,'Smelter Look-up'!$J:$J,0))</f>
        <v>#N/A</v>
      </c>
      <c r="W1118" s="276"/>
      <c r="X1118" s="276">
        <f t="shared" ca="1" si="160"/>
        <v>0</v>
      </c>
      <c r="Y1118" s="276"/>
      <c r="Z1118" s="276"/>
      <c r="AB1118" s="278" t="str">
        <f t="shared" si="161"/>
        <v/>
      </c>
    </row>
    <row r="1119" spans="1:28" s="277" customFormat="1" ht="20.25">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59"/>
        <v/>
      </c>
      <c r="T1119" s="225" t="str">
        <f ca="1">IF(B1119="","",IF(ISERROR(MATCH($J1119,SorP!$B$1:$B$6230,0)),"",INDIRECT("'SorP'!$A$"&amp;MATCH($J1119,SorP!$B$1:$B$6230,0))))</f>
        <v/>
      </c>
      <c r="U1119" s="241"/>
      <c r="V1119" s="275" t="e">
        <f>IF(C1119="",NA(),MATCH($B1119&amp;$C1119,'Smelter Look-up'!$J:$J,0))</f>
        <v>#N/A</v>
      </c>
      <c r="W1119" s="276"/>
      <c r="X1119" s="276">
        <f t="shared" ca="1" si="160"/>
        <v>0</v>
      </c>
      <c r="Y1119" s="276"/>
      <c r="Z1119" s="276"/>
      <c r="AB1119" s="278" t="str">
        <f t="shared" si="161"/>
        <v/>
      </c>
    </row>
    <row r="1120" spans="1:28" s="277" customFormat="1" ht="20.25">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59"/>
        <v/>
      </c>
      <c r="T1120" s="225" t="str">
        <f ca="1">IF(B1120="","",IF(ISERROR(MATCH($J1120,SorP!$B$1:$B$6230,0)),"",INDIRECT("'SorP'!$A$"&amp;MATCH($J1120,SorP!$B$1:$B$6230,0))))</f>
        <v/>
      </c>
      <c r="U1120" s="241"/>
      <c r="V1120" s="275" t="e">
        <f>IF(C1120="",NA(),MATCH($B1120&amp;$C1120,'Smelter Look-up'!$J:$J,0))</f>
        <v>#N/A</v>
      </c>
      <c r="W1120" s="276"/>
      <c r="X1120" s="276">
        <f t="shared" ca="1" si="160"/>
        <v>0</v>
      </c>
      <c r="Y1120" s="276"/>
      <c r="Z1120" s="276"/>
      <c r="AB1120" s="278" t="str">
        <f t="shared" si="161"/>
        <v/>
      </c>
    </row>
    <row r="1121" spans="1:28" s="277" customFormat="1" ht="20.25">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59"/>
        <v/>
      </c>
      <c r="T1121" s="225" t="str">
        <f ca="1">IF(B1121="","",IF(ISERROR(MATCH($J1121,SorP!$B$1:$B$6230,0)),"",INDIRECT("'SorP'!$A$"&amp;MATCH($J1121,SorP!$B$1:$B$6230,0))))</f>
        <v/>
      </c>
      <c r="U1121" s="241"/>
      <c r="V1121" s="275" t="e">
        <f>IF(C1121="",NA(),MATCH($B1121&amp;$C1121,'Smelter Look-up'!$J:$J,0))</f>
        <v>#N/A</v>
      </c>
      <c r="W1121" s="276"/>
      <c r="X1121" s="276">
        <f t="shared" ca="1" si="160"/>
        <v>0</v>
      </c>
      <c r="Y1121" s="276"/>
      <c r="Z1121" s="276"/>
      <c r="AB1121" s="278" t="str">
        <f t="shared" si="161"/>
        <v/>
      </c>
    </row>
    <row r="1122" spans="1:28" s="277" customFormat="1" ht="20.25">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59"/>
        <v/>
      </c>
      <c r="T1122" s="225" t="str">
        <f ca="1">IF(B1122="","",IF(ISERROR(MATCH($J1122,SorP!$B$1:$B$6230,0)),"",INDIRECT("'SorP'!$A$"&amp;MATCH($J1122,SorP!$B$1:$B$6230,0))))</f>
        <v/>
      </c>
      <c r="U1122" s="241"/>
      <c r="V1122" s="275" t="e">
        <f>IF(C1122="",NA(),MATCH($B1122&amp;$C1122,'Smelter Look-up'!$J:$J,0))</f>
        <v>#N/A</v>
      </c>
      <c r="W1122" s="276"/>
      <c r="X1122" s="276">
        <f t="shared" ca="1" si="160"/>
        <v>0</v>
      </c>
      <c r="Y1122" s="276"/>
      <c r="Z1122" s="276"/>
      <c r="AB1122" s="278" t="str">
        <f t="shared" si="161"/>
        <v/>
      </c>
    </row>
    <row r="1123" spans="1:28" s="277" customFormat="1" ht="20.25">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59"/>
        <v/>
      </c>
      <c r="T1123" s="225" t="str">
        <f ca="1">IF(B1123="","",IF(ISERROR(MATCH($J1123,SorP!$B$1:$B$6230,0)),"",INDIRECT("'SorP'!$A$"&amp;MATCH($J1123,SorP!$B$1:$B$6230,0))))</f>
        <v/>
      </c>
      <c r="U1123" s="241"/>
      <c r="V1123" s="275" t="e">
        <f>IF(C1123="",NA(),MATCH($B1123&amp;$C1123,'Smelter Look-up'!$J:$J,0))</f>
        <v>#N/A</v>
      </c>
      <c r="W1123" s="276"/>
      <c r="X1123" s="276">
        <f t="shared" ca="1" si="160"/>
        <v>0</v>
      </c>
      <c r="Y1123" s="276"/>
      <c r="Z1123" s="276"/>
      <c r="AB1123" s="278" t="str">
        <f t="shared" si="161"/>
        <v/>
      </c>
    </row>
    <row r="1124" spans="1:28" s="277" customFormat="1" ht="20.25">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59"/>
        <v/>
      </c>
      <c r="T1124" s="225" t="str">
        <f ca="1">IF(B1124="","",IF(ISERROR(MATCH($J1124,SorP!$B$1:$B$6230,0)),"",INDIRECT("'SorP'!$A$"&amp;MATCH($J1124,SorP!$B$1:$B$6230,0))))</f>
        <v/>
      </c>
      <c r="U1124" s="241"/>
      <c r="V1124" s="275" t="e">
        <f>IF(C1124="",NA(),MATCH($B1124&amp;$C1124,'Smelter Look-up'!$J:$J,0))</f>
        <v>#N/A</v>
      </c>
      <c r="W1124" s="276"/>
      <c r="X1124" s="276">
        <f t="shared" ca="1" si="160"/>
        <v>0</v>
      </c>
      <c r="Y1124" s="276"/>
      <c r="Z1124" s="276"/>
      <c r="AB1124" s="278" t="str">
        <f t="shared" si="161"/>
        <v/>
      </c>
    </row>
    <row r="1125" spans="1:28" s="277" customFormat="1" ht="20.25">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59"/>
        <v/>
      </c>
      <c r="T1125" s="225" t="str">
        <f ca="1">IF(B1125="","",IF(ISERROR(MATCH($J1125,SorP!$B$1:$B$6230,0)),"",INDIRECT("'SorP'!$A$"&amp;MATCH($J1125,SorP!$B$1:$B$6230,0))))</f>
        <v/>
      </c>
      <c r="U1125" s="241"/>
      <c r="V1125" s="275" t="e">
        <f>IF(C1125="",NA(),MATCH($B1125&amp;$C1125,'Smelter Look-up'!$J:$J,0))</f>
        <v>#N/A</v>
      </c>
      <c r="W1125" s="276"/>
      <c r="X1125" s="276">
        <f t="shared" ca="1" si="160"/>
        <v>0</v>
      </c>
      <c r="Y1125" s="276"/>
      <c r="Z1125" s="276"/>
      <c r="AB1125" s="278" t="str">
        <f t="shared" si="161"/>
        <v/>
      </c>
    </row>
    <row r="1126" spans="1:28" s="277" customFormat="1" ht="20.25">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59"/>
        <v/>
      </c>
      <c r="T1126" s="225" t="str">
        <f ca="1">IF(B1126="","",IF(ISERROR(MATCH($J1126,SorP!$B$1:$B$6230,0)),"",INDIRECT("'SorP'!$A$"&amp;MATCH($J1126,SorP!$B$1:$B$6230,0))))</f>
        <v/>
      </c>
      <c r="U1126" s="241"/>
      <c r="V1126" s="275" t="e">
        <f>IF(C1126="",NA(),MATCH($B1126&amp;$C1126,'Smelter Look-up'!$J:$J,0))</f>
        <v>#N/A</v>
      </c>
      <c r="W1126" s="276"/>
      <c r="X1126" s="276">
        <f t="shared" ca="1" si="160"/>
        <v>0</v>
      </c>
      <c r="Y1126" s="276"/>
      <c r="Z1126" s="276"/>
      <c r="AB1126" s="278" t="str">
        <f t="shared" si="161"/>
        <v/>
      </c>
    </row>
    <row r="1127" spans="1:28" s="277" customFormat="1" ht="20.25">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59"/>
        <v/>
      </c>
      <c r="T1127" s="225" t="str">
        <f ca="1">IF(B1127="","",IF(ISERROR(MATCH($J1127,SorP!$B$1:$B$6230,0)),"",INDIRECT("'SorP'!$A$"&amp;MATCH($J1127,SorP!$B$1:$B$6230,0))))</f>
        <v/>
      </c>
      <c r="U1127" s="241"/>
      <c r="V1127" s="275" t="e">
        <f>IF(C1127="",NA(),MATCH($B1127&amp;$C1127,'Smelter Look-up'!$J:$J,0))</f>
        <v>#N/A</v>
      </c>
      <c r="W1127" s="276"/>
      <c r="X1127" s="276">
        <f t="shared" ca="1" si="160"/>
        <v>0</v>
      </c>
      <c r="Y1127" s="276"/>
      <c r="Z1127" s="276"/>
      <c r="AB1127" s="278" t="str">
        <f t="shared" si="161"/>
        <v/>
      </c>
    </row>
    <row r="1128" spans="1:28" s="277" customFormat="1" ht="20.25">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59"/>
        <v/>
      </c>
      <c r="T1128" s="225" t="str">
        <f ca="1">IF(B1128="","",IF(ISERROR(MATCH($J1128,SorP!$B$1:$B$6230,0)),"",INDIRECT("'SorP'!$A$"&amp;MATCH($J1128,SorP!$B$1:$B$6230,0))))</f>
        <v/>
      </c>
      <c r="U1128" s="241"/>
      <c r="V1128" s="275" t="e">
        <f>IF(C1128="",NA(),MATCH($B1128&amp;$C1128,'Smelter Look-up'!$J:$J,0))</f>
        <v>#N/A</v>
      </c>
      <c r="W1128" s="276"/>
      <c r="X1128" s="276">
        <f t="shared" ca="1" si="160"/>
        <v>0</v>
      </c>
      <c r="Y1128" s="276"/>
      <c r="Z1128" s="276"/>
      <c r="AB1128" s="278" t="str">
        <f t="shared" si="161"/>
        <v/>
      </c>
    </row>
    <row r="1129" spans="1:28" s="277" customFormat="1" ht="20.25">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59"/>
        <v/>
      </c>
      <c r="T1129" s="225" t="str">
        <f ca="1">IF(B1129="","",IF(ISERROR(MATCH($J1129,SorP!$B$1:$B$6230,0)),"",INDIRECT("'SorP'!$A$"&amp;MATCH($J1129,SorP!$B$1:$B$6230,0))))</f>
        <v/>
      </c>
      <c r="U1129" s="241"/>
      <c r="V1129" s="275" t="e">
        <f>IF(C1129="",NA(),MATCH($B1129&amp;$C1129,'Smelter Look-up'!$J:$J,0))</f>
        <v>#N/A</v>
      </c>
      <c r="W1129" s="276"/>
      <c r="X1129" s="276">
        <f t="shared" ca="1" si="160"/>
        <v>0</v>
      </c>
      <c r="Y1129" s="276"/>
      <c r="Z1129" s="276"/>
      <c r="AB1129" s="278" t="str">
        <f t="shared" si="161"/>
        <v/>
      </c>
    </row>
    <row r="1130" spans="1:28" s="277" customFormat="1" ht="20.25">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59"/>
        <v/>
      </c>
      <c r="T1130" s="225" t="str">
        <f ca="1">IF(B1130="","",IF(ISERROR(MATCH($J1130,SorP!$B$1:$B$6230,0)),"",INDIRECT("'SorP'!$A$"&amp;MATCH($J1130,SorP!$B$1:$B$6230,0))))</f>
        <v/>
      </c>
      <c r="U1130" s="241"/>
      <c r="V1130" s="275" t="e">
        <f>IF(C1130="",NA(),MATCH($B1130&amp;$C1130,'Smelter Look-up'!$J:$J,0))</f>
        <v>#N/A</v>
      </c>
      <c r="W1130" s="276"/>
      <c r="X1130" s="276">
        <f t="shared" ca="1" si="160"/>
        <v>0</v>
      </c>
      <c r="Y1130" s="276"/>
      <c r="Z1130" s="276"/>
      <c r="AB1130" s="278" t="str">
        <f t="shared" si="161"/>
        <v/>
      </c>
    </row>
    <row r="1131" spans="1:28" s="277" customFormat="1" ht="20.25">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59"/>
        <v/>
      </c>
      <c r="T1131" s="225" t="str">
        <f ca="1">IF(B1131="","",IF(ISERROR(MATCH($J1131,SorP!$B$1:$B$6230,0)),"",INDIRECT("'SorP'!$A$"&amp;MATCH($J1131,SorP!$B$1:$B$6230,0))))</f>
        <v/>
      </c>
      <c r="U1131" s="241"/>
      <c r="V1131" s="275" t="e">
        <f>IF(C1131="",NA(),MATCH($B1131&amp;$C1131,'Smelter Look-up'!$J:$J,0))</f>
        <v>#N/A</v>
      </c>
      <c r="W1131" s="276"/>
      <c r="X1131" s="276">
        <f t="shared" ca="1" si="160"/>
        <v>0</v>
      </c>
      <c r="Y1131" s="276"/>
      <c r="Z1131" s="276"/>
      <c r="AB1131" s="278" t="str">
        <f t="shared" si="161"/>
        <v/>
      </c>
    </row>
    <row r="1132" spans="1:28" s="277" customFormat="1" ht="20.25">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59"/>
        <v/>
      </c>
      <c r="T1132" s="225" t="str">
        <f ca="1">IF(B1132="","",IF(ISERROR(MATCH($J1132,SorP!$B$1:$B$6230,0)),"",INDIRECT("'SorP'!$A$"&amp;MATCH($J1132,SorP!$B$1:$B$6230,0))))</f>
        <v/>
      </c>
      <c r="U1132" s="241"/>
      <c r="V1132" s="275" t="e">
        <f>IF(C1132="",NA(),MATCH($B1132&amp;$C1132,'Smelter Look-up'!$J:$J,0))</f>
        <v>#N/A</v>
      </c>
      <c r="W1132" s="276"/>
      <c r="X1132" s="276">
        <f t="shared" ca="1" si="160"/>
        <v>0</v>
      </c>
      <c r="Y1132" s="276"/>
      <c r="Z1132" s="276"/>
      <c r="AB1132" s="278" t="str">
        <f t="shared" si="161"/>
        <v/>
      </c>
    </row>
    <row r="1133" spans="1:28" s="277" customFormat="1" ht="20.25">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59"/>
        <v/>
      </c>
      <c r="T1133" s="225" t="str">
        <f ca="1">IF(B1133="","",IF(ISERROR(MATCH($J1133,SorP!$B$1:$B$6230,0)),"",INDIRECT("'SorP'!$A$"&amp;MATCH($J1133,SorP!$B$1:$B$6230,0))))</f>
        <v/>
      </c>
      <c r="U1133" s="241"/>
      <c r="V1133" s="275" t="e">
        <f>IF(C1133="",NA(),MATCH($B1133&amp;$C1133,'Smelter Look-up'!$J:$J,0))</f>
        <v>#N/A</v>
      </c>
      <c r="W1133" s="276"/>
      <c r="X1133" s="276">
        <f t="shared" ca="1" si="160"/>
        <v>0</v>
      </c>
      <c r="Y1133" s="276"/>
      <c r="Z1133" s="276"/>
      <c r="AB1133" s="278" t="str">
        <f t="shared" si="161"/>
        <v/>
      </c>
    </row>
    <row r="1134" spans="1:28" s="277" customFormat="1" ht="20.25">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59"/>
        <v/>
      </c>
      <c r="T1134" s="225" t="str">
        <f ca="1">IF(B1134="","",IF(ISERROR(MATCH($J1134,SorP!$B$1:$B$6230,0)),"",INDIRECT("'SorP'!$A$"&amp;MATCH($J1134,SorP!$B$1:$B$6230,0))))</f>
        <v/>
      </c>
      <c r="U1134" s="241"/>
      <c r="V1134" s="275" t="e">
        <f>IF(C1134="",NA(),MATCH($B1134&amp;$C1134,'Smelter Look-up'!$J:$J,0))</f>
        <v>#N/A</v>
      </c>
      <c r="W1134" s="276"/>
      <c r="X1134" s="276">
        <f t="shared" ca="1" si="160"/>
        <v>0</v>
      </c>
      <c r="Y1134" s="276"/>
      <c r="Z1134" s="276"/>
      <c r="AB1134" s="278" t="str">
        <f t="shared" si="161"/>
        <v/>
      </c>
    </row>
    <row r="1135" spans="1:28" s="277" customFormat="1" ht="20.25">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159"/>
        <v/>
      </c>
      <c r="T1135" s="225" t="str">
        <f ca="1">IF(B1135="","",IF(ISERROR(MATCH($J1135,SorP!$B$1:$B$6230,0)),"",INDIRECT("'SorP'!$A$"&amp;MATCH($J1135,SorP!$B$1:$B$6230,0))))</f>
        <v/>
      </c>
      <c r="U1135" s="241"/>
      <c r="V1135" s="275" t="e">
        <f>IF(C1135="",NA(),MATCH($B1135&amp;$C1135,'Smelter Look-up'!$J:$J,0))</f>
        <v>#N/A</v>
      </c>
      <c r="W1135" s="276"/>
      <c r="X1135" s="276">
        <f t="shared" ca="1" si="160"/>
        <v>0</v>
      </c>
      <c r="Y1135" s="276"/>
      <c r="Z1135" s="276"/>
      <c r="AB1135" s="278" t="str">
        <f t="shared" si="161"/>
        <v/>
      </c>
    </row>
    <row r="1136" spans="1:28" s="277" customFormat="1" ht="20.25">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159"/>
        <v/>
      </c>
      <c r="T1136" s="225" t="str">
        <f ca="1">IF(B1136="","",IF(ISERROR(MATCH($J1136,SorP!$B$1:$B$6230,0)),"",INDIRECT("'SorP'!$A$"&amp;MATCH($J1136,SorP!$B$1:$B$6230,0))))</f>
        <v/>
      </c>
      <c r="U1136" s="241"/>
      <c r="V1136" s="275" t="e">
        <f>IF(C1136="",NA(),MATCH($B1136&amp;$C1136,'Smelter Look-up'!$J:$J,0))</f>
        <v>#N/A</v>
      </c>
      <c r="W1136" s="276"/>
      <c r="X1136" s="276">
        <f t="shared" ca="1" si="160"/>
        <v>0</v>
      </c>
      <c r="Y1136" s="276"/>
      <c r="Z1136" s="276"/>
      <c r="AB1136" s="278" t="str">
        <f t="shared" si="161"/>
        <v/>
      </c>
    </row>
    <row r="1137" spans="1:28" s="277" customFormat="1" ht="20.25">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159"/>
        <v/>
      </c>
      <c r="T1137" s="225" t="str">
        <f ca="1">IF(B1137="","",IF(ISERROR(MATCH($J1137,SorP!$B$1:$B$6230,0)),"",INDIRECT("'SorP'!$A$"&amp;MATCH($J1137,SorP!$B$1:$B$6230,0))))</f>
        <v/>
      </c>
      <c r="U1137" s="241"/>
      <c r="V1137" s="275" t="e">
        <f>IF(C1137="",NA(),MATCH($B1137&amp;$C1137,'Smelter Look-up'!$J:$J,0))</f>
        <v>#N/A</v>
      </c>
      <c r="W1137" s="276"/>
      <c r="X1137" s="276">
        <f t="shared" ca="1" si="160"/>
        <v>0</v>
      </c>
      <c r="Y1137" s="276"/>
      <c r="Z1137" s="276"/>
      <c r="AB1137" s="278" t="str">
        <f t="shared" si="161"/>
        <v/>
      </c>
    </row>
    <row r="1138" spans="1:28" s="277" customFormat="1" ht="20.25">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159"/>
        <v/>
      </c>
      <c r="T1138" s="225" t="str">
        <f ca="1">IF(B1138="","",IF(ISERROR(MATCH($J1138,SorP!$B$1:$B$6230,0)),"",INDIRECT("'SorP'!$A$"&amp;MATCH($J1138,SorP!$B$1:$B$6230,0))))</f>
        <v/>
      </c>
      <c r="U1138" s="241"/>
      <c r="V1138" s="275" t="e">
        <f>IF(C1138="",NA(),MATCH($B1138&amp;$C1138,'Smelter Look-up'!$J:$J,0))</f>
        <v>#N/A</v>
      </c>
      <c r="W1138" s="276"/>
      <c r="X1138" s="276">
        <f t="shared" ca="1" si="160"/>
        <v>0</v>
      </c>
      <c r="Y1138" s="276"/>
      <c r="Z1138" s="276"/>
      <c r="AB1138" s="278" t="str">
        <f t="shared" si="161"/>
        <v/>
      </c>
    </row>
    <row r="1139" spans="1:28" s="277" customFormat="1" ht="20.25">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59"/>
        <v/>
      </c>
      <c r="T1139" s="225" t="str">
        <f ca="1">IF(B1139="","",IF(ISERROR(MATCH($J1139,SorP!$B$1:$B$6230,0)),"",INDIRECT("'SorP'!$A$"&amp;MATCH($J1139,SorP!$B$1:$B$6230,0))))</f>
        <v/>
      </c>
      <c r="U1139" s="241"/>
      <c r="V1139" s="275" t="e">
        <f>IF(C1139="",NA(),MATCH($B1139&amp;$C1139,'Smelter Look-up'!$J:$J,0))</f>
        <v>#N/A</v>
      </c>
      <c r="W1139" s="276"/>
      <c r="X1139" s="276">
        <f t="shared" ca="1" si="160"/>
        <v>0</v>
      </c>
      <c r="Y1139" s="276"/>
      <c r="Z1139" s="276"/>
      <c r="AB1139" s="278" t="str">
        <f t="shared" si="161"/>
        <v/>
      </c>
    </row>
    <row r="1140" spans="1:28" s="277" customFormat="1" ht="20.25">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59"/>
        <v/>
      </c>
      <c r="T1140" s="225" t="str">
        <f ca="1">IF(B1140="","",IF(ISERROR(MATCH($J1140,SorP!$B$1:$B$6230,0)),"",INDIRECT("'SorP'!$A$"&amp;MATCH($J1140,SorP!$B$1:$B$6230,0))))</f>
        <v/>
      </c>
      <c r="U1140" s="241"/>
      <c r="V1140" s="275" t="e">
        <f>IF(C1140="",NA(),MATCH($B1140&amp;$C1140,'Smelter Look-up'!$J:$J,0))</f>
        <v>#N/A</v>
      </c>
      <c r="W1140" s="276"/>
      <c r="X1140" s="276">
        <f t="shared" ca="1" si="160"/>
        <v>0</v>
      </c>
      <c r="Y1140" s="276"/>
      <c r="Z1140" s="276"/>
      <c r="AB1140" s="278" t="str">
        <f t="shared" si="161"/>
        <v/>
      </c>
    </row>
    <row r="1141" spans="1:28" s="277" customFormat="1" ht="20.25">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59"/>
        <v/>
      </c>
      <c r="T1141" s="225" t="str">
        <f ca="1">IF(B1141="","",IF(ISERROR(MATCH($J1141,SorP!$B$1:$B$6230,0)),"",INDIRECT("'SorP'!$A$"&amp;MATCH($J1141,SorP!$B$1:$B$6230,0))))</f>
        <v/>
      </c>
      <c r="U1141" s="241"/>
      <c r="V1141" s="275" t="e">
        <f>IF(C1141="",NA(),MATCH($B1141&amp;$C1141,'Smelter Look-up'!$J:$J,0))</f>
        <v>#N/A</v>
      </c>
      <c r="W1141" s="276"/>
      <c r="X1141" s="276">
        <f t="shared" ca="1" si="160"/>
        <v>0</v>
      </c>
      <c r="Y1141" s="276"/>
      <c r="Z1141" s="276"/>
      <c r="AB1141" s="278" t="str">
        <f t="shared" si="161"/>
        <v/>
      </c>
    </row>
    <row r="1142" spans="1:28" s="277" customFormat="1" ht="20.25">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59"/>
        <v/>
      </c>
      <c r="T1142" s="225" t="str">
        <f ca="1">IF(B1142="","",IF(ISERROR(MATCH($J1142,SorP!$B$1:$B$6230,0)),"",INDIRECT("'SorP'!$A$"&amp;MATCH($J1142,SorP!$B$1:$B$6230,0))))</f>
        <v/>
      </c>
      <c r="U1142" s="241"/>
      <c r="V1142" s="275" t="e">
        <f>IF(C1142="",NA(),MATCH($B1142&amp;$C1142,'Smelter Look-up'!$J:$J,0))</f>
        <v>#N/A</v>
      </c>
      <c r="W1142" s="276"/>
      <c r="X1142" s="276">
        <f t="shared" ca="1" si="160"/>
        <v>0</v>
      </c>
      <c r="Y1142" s="276"/>
      <c r="Z1142" s="276"/>
      <c r="AB1142" s="278" t="str">
        <f t="shared" si="161"/>
        <v/>
      </c>
    </row>
    <row r="1143" spans="1:28" s="277" customFormat="1" ht="20.25">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59"/>
        <v/>
      </c>
      <c r="T1143" s="225" t="str">
        <f ca="1">IF(B1143="","",IF(ISERROR(MATCH($J1143,SorP!$B$1:$B$6230,0)),"",INDIRECT("'SorP'!$A$"&amp;MATCH($J1143,SorP!$B$1:$B$6230,0))))</f>
        <v/>
      </c>
      <c r="U1143" s="241"/>
      <c r="V1143" s="275" t="e">
        <f>IF(C1143="",NA(),MATCH($B1143&amp;$C1143,'Smelter Look-up'!$J:$J,0))</f>
        <v>#N/A</v>
      </c>
      <c r="W1143" s="276"/>
      <c r="X1143" s="276">
        <f t="shared" ca="1" si="160"/>
        <v>0</v>
      </c>
      <c r="Y1143" s="276"/>
      <c r="Z1143" s="276"/>
      <c r="AB1143" s="278" t="str">
        <f t="shared" si="161"/>
        <v/>
      </c>
    </row>
    <row r="1144" spans="1:28" s="277" customFormat="1" ht="20.25">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59"/>
        <v/>
      </c>
      <c r="T1144" s="225" t="str">
        <f ca="1">IF(B1144="","",IF(ISERROR(MATCH($J1144,SorP!$B$1:$B$6230,0)),"",INDIRECT("'SorP'!$A$"&amp;MATCH($J1144,SorP!$B$1:$B$6230,0))))</f>
        <v/>
      </c>
      <c r="U1144" s="241"/>
      <c r="V1144" s="275" t="e">
        <f>IF(C1144="",NA(),MATCH($B1144&amp;$C1144,'Smelter Look-up'!$J:$J,0))</f>
        <v>#N/A</v>
      </c>
      <c r="W1144" s="276"/>
      <c r="X1144" s="276">
        <f t="shared" ca="1" si="160"/>
        <v>0</v>
      </c>
      <c r="Y1144" s="276"/>
      <c r="Z1144" s="276"/>
      <c r="AB1144" s="278" t="str">
        <f t="shared" si="161"/>
        <v/>
      </c>
    </row>
    <row r="1145" spans="1:28" s="277" customFormat="1" ht="20.25">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59"/>
        <v/>
      </c>
      <c r="T1145" s="225" t="str">
        <f ca="1">IF(B1145="","",IF(ISERROR(MATCH($J1145,SorP!$B$1:$B$6230,0)),"",INDIRECT("'SorP'!$A$"&amp;MATCH($J1145,SorP!$B$1:$B$6230,0))))</f>
        <v/>
      </c>
      <c r="U1145" s="241"/>
      <c r="V1145" s="275" t="e">
        <f>IF(C1145="",NA(),MATCH($B1145&amp;$C1145,'Smelter Look-up'!$J:$J,0))</f>
        <v>#N/A</v>
      </c>
      <c r="W1145" s="276"/>
      <c r="X1145" s="276">
        <f t="shared" ca="1" si="160"/>
        <v>0</v>
      </c>
      <c r="Y1145" s="276"/>
      <c r="Z1145" s="276"/>
      <c r="AB1145" s="278" t="str">
        <f t="shared" si="161"/>
        <v/>
      </c>
    </row>
    <row r="1146" spans="1:28" s="277" customFormat="1" ht="20.25">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159"/>
        <v/>
      </c>
      <c r="T1146" s="225" t="str">
        <f ca="1">IF(B1146="","",IF(ISERROR(MATCH($J1146,SorP!$B$1:$B$6230,0)),"",INDIRECT("'SorP'!$A$"&amp;MATCH($J1146,SorP!$B$1:$B$6230,0))))</f>
        <v/>
      </c>
      <c r="U1146" s="241"/>
      <c r="V1146" s="275" t="e">
        <f>IF(C1146="",NA(),MATCH($B1146&amp;$C1146,'Smelter Look-up'!$J:$J,0))</f>
        <v>#N/A</v>
      </c>
      <c r="W1146" s="276"/>
      <c r="X1146" s="276">
        <f t="shared" ca="1" si="160"/>
        <v>0</v>
      </c>
      <c r="Y1146" s="276"/>
      <c r="Z1146" s="276"/>
      <c r="AB1146" s="278" t="str">
        <f t="shared" si="161"/>
        <v/>
      </c>
    </row>
    <row r="1147" spans="1:28" s="277" customFormat="1" ht="20.25">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ref="S1147" ca="1" si="162">IF(B1147="","",IF(ISERROR(MATCH($E1147,CL,0)),"Unknown",INDIRECT("'C'!$A$"&amp;MATCH($E1147,CL,0)+1)))</f>
        <v/>
      </c>
      <c r="T1147" s="225" t="str">
        <f ca="1">IF(B1147="","",IF(ISERROR(MATCH($J1147,SorP!$B$1:$B$6230,0)),"",INDIRECT("'SorP'!$A$"&amp;MATCH($J1147,SorP!$B$1:$B$6230,0))))</f>
        <v/>
      </c>
      <c r="U1147" s="241"/>
      <c r="V1147" s="275" t="e">
        <f>IF(C1147="",NA(),MATCH($B1147&amp;$C1147,'Smelter Look-up'!$J:$J,0))</f>
        <v>#N/A</v>
      </c>
      <c r="W1147" s="276"/>
      <c r="X1147" s="276">
        <f t="shared" ref="X1147" ca="1" si="163">IF(AND(C1147="Smelter not listed",OR(LEN(D1147)=0,LEN(E1147)=0)),1,0)</f>
        <v>0</v>
      </c>
      <c r="Y1147" s="276"/>
      <c r="Z1147" s="276"/>
      <c r="AB1147" s="278" t="str">
        <f t="shared" ref="AB1147" si="164">B1147&amp;C1147</f>
        <v/>
      </c>
    </row>
    <row r="1148" spans="1:28" s="277" customFormat="1" ht="20.25">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ref="S1148:S1179" ca="1" si="165">IF(B1148="","",IF(ISERROR(MATCH($E1148,CL,0)),"Unknown",INDIRECT("'C'!$A$"&amp;MATCH($E1148,CL,0)+1)))</f>
        <v/>
      </c>
      <c r="T1148" s="225" t="str">
        <f ca="1">IF(B1148="","",IF(ISERROR(MATCH($J1148,SorP!$B$1:$B$6230,0)),"",INDIRECT("'SorP'!$A$"&amp;MATCH($J1148,SorP!$B$1:$B$6230,0))))</f>
        <v/>
      </c>
      <c r="U1148" s="241"/>
      <c r="V1148" s="275" t="e">
        <f>IF(C1148="",NA(),MATCH($B1148&amp;$C1148,'Smelter Look-up'!$J:$J,0))</f>
        <v>#N/A</v>
      </c>
      <c r="W1148" s="276"/>
      <c r="X1148" s="276">
        <f t="shared" ref="X1148:X1179" ca="1" si="166">IF(AND(C1148="Smelter not listed",OR(LEN(D1148)=0,LEN(E1148)=0)),1,0)</f>
        <v>0</v>
      </c>
      <c r="Y1148" s="276"/>
      <c r="Z1148" s="276"/>
      <c r="AB1148" s="278" t="str">
        <f t="shared" ref="AB1148:AB1179" si="167">B1148&amp;C1148</f>
        <v/>
      </c>
    </row>
    <row r="1149" spans="1:28" s="277" customFormat="1" ht="20.25">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65"/>
        <v/>
      </c>
      <c r="T1149" s="225" t="str">
        <f ca="1">IF(B1149="","",IF(ISERROR(MATCH($J1149,SorP!$B$1:$B$6230,0)),"",INDIRECT("'SorP'!$A$"&amp;MATCH($J1149,SorP!$B$1:$B$6230,0))))</f>
        <v/>
      </c>
      <c r="U1149" s="241"/>
      <c r="V1149" s="275" t="e">
        <f>IF(C1149="",NA(),MATCH($B1149&amp;$C1149,'Smelter Look-up'!$J:$J,0))</f>
        <v>#N/A</v>
      </c>
      <c r="W1149" s="276"/>
      <c r="X1149" s="276">
        <f t="shared" ca="1" si="166"/>
        <v>0</v>
      </c>
      <c r="Y1149" s="276"/>
      <c r="Z1149" s="276"/>
      <c r="AB1149" s="278" t="str">
        <f t="shared" si="167"/>
        <v/>
      </c>
    </row>
    <row r="1150" spans="1:28" s="277" customFormat="1" ht="20.25">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65"/>
        <v/>
      </c>
      <c r="T1150" s="225" t="str">
        <f ca="1">IF(B1150="","",IF(ISERROR(MATCH($J1150,SorP!$B$1:$B$6230,0)),"",INDIRECT("'SorP'!$A$"&amp;MATCH($J1150,SorP!$B$1:$B$6230,0))))</f>
        <v/>
      </c>
      <c r="U1150" s="241"/>
      <c r="V1150" s="275" t="e">
        <f>IF(C1150="",NA(),MATCH($B1150&amp;$C1150,'Smelter Look-up'!$J:$J,0))</f>
        <v>#N/A</v>
      </c>
      <c r="W1150" s="276"/>
      <c r="X1150" s="276">
        <f t="shared" ca="1" si="166"/>
        <v>0</v>
      </c>
      <c r="Y1150" s="276"/>
      <c r="Z1150" s="276"/>
      <c r="AB1150" s="278" t="str">
        <f t="shared" si="167"/>
        <v/>
      </c>
    </row>
    <row r="1151" spans="1:28" s="277" customFormat="1" ht="20.25">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65"/>
        <v/>
      </c>
      <c r="T1151" s="225" t="str">
        <f ca="1">IF(B1151="","",IF(ISERROR(MATCH($J1151,SorP!$B$1:$B$6230,0)),"",INDIRECT("'SorP'!$A$"&amp;MATCH($J1151,SorP!$B$1:$B$6230,0))))</f>
        <v/>
      </c>
      <c r="U1151" s="241"/>
      <c r="V1151" s="275" t="e">
        <f>IF(C1151="",NA(),MATCH($B1151&amp;$C1151,'Smelter Look-up'!$J:$J,0))</f>
        <v>#N/A</v>
      </c>
      <c r="W1151" s="276"/>
      <c r="X1151" s="276">
        <f t="shared" ca="1" si="166"/>
        <v>0</v>
      </c>
      <c r="Y1151" s="276"/>
      <c r="Z1151" s="276"/>
      <c r="AB1151" s="278" t="str">
        <f t="shared" si="167"/>
        <v/>
      </c>
    </row>
    <row r="1152" spans="1:28" s="277" customFormat="1" ht="20.25">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65"/>
        <v/>
      </c>
      <c r="T1152" s="225" t="str">
        <f ca="1">IF(B1152="","",IF(ISERROR(MATCH($J1152,SorP!$B$1:$B$6230,0)),"",INDIRECT("'SorP'!$A$"&amp;MATCH($J1152,SorP!$B$1:$B$6230,0))))</f>
        <v/>
      </c>
      <c r="U1152" s="241"/>
      <c r="V1152" s="275" t="e">
        <f>IF(C1152="",NA(),MATCH($B1152&amp;$C1152,'Smelter Look-up'!$J:$J,0))</f>
        <v>#N/A</v>
      </c>
      <c r="W1152" s="276"/>
      <c r="X1152" s="276">
        <f t="shared" ca="1" si="166"/>
        <v>0</v>
      </c>
      <c r="Y1152" s="276"/>
      <c r="Z1152" s="276"/>
      <c r="AB1152" s="278" t="str">
        <f t="shared" si="167"/>
        <v/>
      </c>
    </row>
    <row r="1153" spans="1:28" s="277" customFormat="1" ht="20.25">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65"/>
        <v/>
      </c>
      <c r="T1153" s="225" t="str">
        <f ca="1">IF(B1153="","",IF(ISERROR(MATCH($J1153,SorP!$B$1:$B$6230,0)),"",INDIRECT("'SorP'!$A$"&amp;MATCH($J1153,SorP!$B$1:$B$6230,0))))</f>
        <v/>
      </c>
      <c r="U1153" s="241"/>
      <c r="V1153" s="275" t="e">
        <f>IF(C1153="",NA(),MATCH($B1153&amp;$C1153,'Smelter Look-up'!$J:$J,0))</f>
        <v>#N/A</v>
      </c>
      <c r="W1153" s="276"/>
      <c r="X1153" s="276">
        <f t="shared" ca="1" si="166"/>
        <v>0</v>
      </c>
      <c r="Y1153" s="276"/>
      <c r="Z1153" s="276"/>
      <c r="AB1153" s="278" t="str">
        <f t="shared" si="167"/>
        <v/>
      </c>
    </row>
    <row r="1154" spans="1:28" s="277" customFormat="1" ht="20.25">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65"/>
        <v/>
      </c>
      <c r="T1154" s="225" t="str">
        <f ca="1">IF(B1154="","",IF(ISERROR(MATCH($J1154,SorP!$B$1:$B$6230,0)),"",INDIRECT("'SorP'!$A$"&amp;MATCH($J1154,SorP!$B$1:$B$6230,0))))</f>
        <v/>
      </c>
      <c r="U1154" s="241"/>
      <c r="V1154" s="275" t="e">
        <f>IF(C1154="",NA(),MATCH($B1154&amp;$C1154,'Smelter Look-up'!$J:$J,0))</f>
        <v>#N/A</v>
      </c>
      <c r="W1154" s="276"/>
      <c r="X1154" s="276">
        <f t="shared" ca="1" si="166"/>
        <v>0</v>
      </c>
      <c r="Y1154" s="276"/>
      <c r="Z1154" s="276"/>
      <c r="AB1154" s="278" t="str">
        <f t="shared" si="167"/>
        <v/>
      </c>
    </row>
    <row r="1155" spans="1:28" s="277" customFormat="1" ht="20.25">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65"/>
        <v/>
      </c>
      <c r="T1155" s="225" t="str">
        <f ca="1">IF(B1155="","",IF(ISERROR(MATCH($J1155,SorP!$B$1:$B$6230,0)),"",INDIRECT("'SorP'!$A$"&amp;MATCH($J1155,SorP!$B$1:$B$6230,0))))</f>
        <v/>
      </c>
      <c r="U1155" s="241"/>
      <c r="V1155" s="275" t="e">
        <f>IF(C1155="",NA(),MATCH($B1155&amp;$C1155,'Smelter Look-up'!$J:$J,0))</f>
        <v>#N/A</v>
      </c>
      <c r="W1155" s="276"/>
      <c r="X1155" s="276">
        <f t="shared" ca="1" si="166"/>
        <v>0</v>
      </c>
      <c r="Y1155" s="276"/>
      <c r="Z1155" s="276"/>
      <c r="AB1155" s="278" t="str">
        <f t="shared" si="167"/>
        <v/>
      </c>
    </row>
    <row r="1156" spans="1:28" s="277" customFormat="1" ht="20.25">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65"/>
        <v/>
      </c>
      <c r="T1156" s="225" t="str">
        <f ca="1">IF(B1156="","",IF(ISERROR(MATCH($J1156,SorP!$B$1:$B$6230,0)),"",INDIRECT("'SorP'!$A$"&amp;MATCH($J1156,SorP!$B$1:$B$6230,0))))</f>
        <v/>
      </c>
      <c r="U1156" s="241"/>
      <c r="V1156" s="275" t="e">
        <f>IF(C1156="",NA(),MATCH($B1156&amp;$C1156,'Smelter Look-up'!$J:$J,0))</f>
        <v>#N/A</v>
      </c>
      <c r="W1156" s="276"/>
      <c r="X1156" s="276">
        <f t="shared" ca="1" si="166"/>
        <v>0</v>
      </c>
      <c r="Y1156" s="276"/>
      <c r="Z1156" s="276"/>
      <c r="AB1156" s="278" t="str">
        <f t="shared" si="167"/>
        <v/>
      </c>
    </row>
    <row r="1157" spans="1:28" s="277" customFormat="1" ht="20.25">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65"/>
        <v/>
      </c>
      <c r="T1157" s="225" t="str">
        <f ca="1">IF(B1157="","",IF(ISERROR(MATCH($J1157,SorP!$B$1:$B$6230,0)),"",INDIRECT("'SorP'!$A$"&amp;MATCH($J1157,SorP!$B$1:$B$6230,0))))</f>
        <v/>
      </c>
      <c r="U1157" s="241"/>
      <c r="V1157" s="275" t="e">
        <f>IF(C1157="",NA(),MATCH($B1157&amp;$C1157,'Smelter Look-up'!$J:$J,0))</f>
        <v>#N/A</v>
      </c>
      <c r="W1157" s="276"/>
      <c r="X1157" s="276">
        <f t="shared" ca="1" si="166"/>
        <v>0</v>
      </c>
      <c r="Y1157" s="276"/>
      <c r="Z1157" s="276"/>
      <c r="AB1157" s="278" t="str">
        <f t="shared" si="167"/>
        <v/>
      </c>
    </row>
    <row r="1158" spans="1:28" s="277" customFormat="1" ht="20.25">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65"/>
        <v/>
      </c>
      <c r="T1158" s="225" t="str">
        <f ca="1">IF(B1158="","",IF(ISERROR(MATCH($J1158,SorP!$B$1:$B$6230,0)),"",INDIRECT("'SorP'!$A$"&amp;MATCH($J1158,SorP!$B$1:$B$6230,0))))</f>
        <v/>
      </c>
      <c r="U1158" s="241"/>
      <c r="V1158" s="275" t="e">
        <f>IF(C1158="",NA(),MATCH($B1158&amp;$C1158,'Smelter Look-up'!$J:$J,0))</f>
        <v>#N/A</v>
      </c>
      <c r="W1158" s="276"/>
      <c r="X1158" s="276">
        <f t="shared" ca="1" si="166"/>
        <v>0</v>
      </c>
      <c r="Y1158" s="276"/>
      <c r="Z1158" s="276"/>
      <c r="AB1158" s="278" t="str">
        <f t="shared" si="167"/>
        <v/>
      </c>
    </row>
    <row r="1159" spans="1:28" s="277" customFormat="1" ht="20.25">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65"/>
        <v/>
      </c>
      <c r="T1159" s="225" t="str">
        <f ca="1">IF(B1159="","",IF(ISERROR(MATCH($J1159,SorP!$B$1:$B$6230,0)),"",INDIRECT("'SorP'!$A$"&amp;MATCH($J1159,SorP!$B$1:$B$6230,0))))</f>
        <v/>
      </c>
      <c r="U1159" s="241"/>
      <c r="V1159" s="275" t="e">
        <f>IF(C1159="",NA(),MATCH($B1159&amp;$C1159,'Smelter Look-up'!$J:$J,0))</f>
        <v>#N/A</v>
      </c>
      <c r="W1159" s="276"/>
      <c r="X1159" s="276">
        <f t="shared" ca="1" si="166"/>
        <v>0</v>
      </c>
      <c r="Y1159" s="276"/>
      <c r="Z1159" s="276"/>
      <c r="AB1159" s="278" t="str">
        <f t="shared" si="167"/>
        <v/>
      </c>
    </row>
    <row r="1160" spans="1:28" s="277" customFormat="1" ht="20.25">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65"/>
        <v/>
      </c>
      <c r="T1160" s="225" t="str">
        <f ca="1">IF(B1160="","",IF(ISERROR(MATCH($J1160,SorP!$B$1:$B$6230,0)),"",INDIRECT("'SorP'!$A$"&amp;MATCH($J1160,SorP!$B$1:$B$6230,0))))</f>
        <v/>
      </c>
      <c r="U1160" s="241"/>
      <c r="V1160" s="275" t="e">
        <f>IF(C1160="",NA(),MATCH($B1160&amp;$C1160,'Smelter Look-up'!$J:$J,0))</f>
        <v>#N/A</v>
      </c>
      <c r="W1160" s="276"/>
      <c r="X1160" s="276">
        <f t="shared" ca="1" si="166"/>
        <v>0</v>
      </c>
      <c r="Y1160" s="276"/>
      <c r="Z1160" s="276"/>
      <c r="AB1160" s="278" t="str">
        <f t="shared" si="167"/>
        <v/>
      </c>
    </row>
    <row r="1161" spans="1:28" s="277" customFormat="1" ht="20.25">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65"/>
        <v/>
      </c>
      <c r="T1161" s="225" t="str">
        <f ca="1">IF(B1161="","",IF(ISERROR(MATCH($J1161,SorP!$B$1:$B$6230,0)),"",INDIRECT("'SorP'!$A$"&amp;MATCH($J1161,SorP!$B$1:$B$6230,0))))</f>
        <v/>
      </c>
      <c r="U1161" s="241"/>
      <c r="V1161" s="275" t="e">
        <f>IF(C1161="",NA(),MATCH($B1161&amp;$C1161,'Smelter Look-up'!$J:$J,0))</f>
        <v>#N/A</v>
      </c>
      <c r="W1161" s="276"/>
      <c r="X1161" s="276">
        <f t="shared" ca="1" si="166"/>
        <v>0</v>
      </c>
      <c r="Y1161" s="276"/>
      <c r="Z1161" s="276"/>
      <c r="AB1161" s="278" t="str">
        <f t="shared" si="167"/>
        <v/>
      </c>
    </row>
    <row r="1162" spans="1:28" s="277" customFormat="1" ht="20.25">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65"/>
        <v/>
      </c>
      <c r="T1162" s="225" t="str">
        <f ca="1">IF(B1162="","",IF(ISERROR(MATCH($J1162,SorP!$B$1:$B$6230,0)),"",INDIRECT("'SorP'!$A$"&amp;MATCH($J1162,SorP!$B$1:$B$6230,0))))</f>
        <v/>
      </c>
      <c r="U1162" s="241"/>
      <c r="V1162" s="275" t="e">
        <f>IF(C1162="",NA(),MATCH($B1162&amp;$C1162,'Smelter Look-up'!$J:$J,0))</f>
        <v>#N/A</v>
      </c>
      <c r="W1162" s="276"/>
      <c r="X1162" s="276">
        <f t="shared" ca="1" si="166"/>
        <v>0</v>
      </c>
      <c r="Y1162" s="276"/>
      <c r="Z1162" s="276"/>
      <c r="AB1162" s="278" t="str">
        <f t="shared" si="167"/>
        <v/>
      </c>
    </row>
    <row r="1163" spans="1:28" s="277" customFormat="1" ht="20.25">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65"/>
        <v/>
      </c>
      <c r="T1163" s="225" t="str">
        <f ca="1">IF(B1163="","",IF(ISERROR(MATCH($J1163,SorP!$B$1:$B$6230,0)),"",INDIRECT("'SorP'!$A$"&amp;MATCH($J1163,SorP!$B$1:$B$6230,0))))</f>
        <v/>
      </c>
      <c r="U1163" s="241"/>
      <c r="V1163" s="275" t="e">
        <f>IF(C1163="",NA(),MATCH($B1163&amp;$C1163,'Smelter Look-up'!$J:$J,0))</f>
        <v>#N/A</v>
      </c>
      <c r="W1163" s="276"/>
      <c r="X1163" s="276">
        <f t="shared" ca="1" si="166"/>
        <v>0</v>
      </c>
      <c r="Y1163" s="276"/>
      <c r="Z1163" s="276"/>
      <c r="AB1163" s="278" t="str">
        <f t="shared" si="167"/>
        <v/>
      </c>
    </row>
    <row r="1164" spans="1:28" s="277" customFormat="1" ht="20.25">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65"/>
        <v/>
      </c>
      <c r="T1164" s="225" t="str">
        <f ca="1">IF(B1164="","",IF(ISERROR(MATCH($J1164,SorP!$B$1:$B$6230,0)),"",INDIRECT("'SorP'!$A$"&amp;MATCH($J1164,SorP!$B$1:$B$6230,0))))</f>
        <v/>
      </c>
      <c r="U1164" s="241"/>
      <c r="V1164" s="275" t="e">
        <f>IF(C1164="",NA(),MATCH($B1164&amp;$C1164,'Smelter Look-up'!$J:$J,0))</f>
        <v>#N/A</v>
      </c>
      <c r="W1164" s="276"/>
      <c r="X1164" s="276">
        <f t="shared" ca="1" si="166"/>
        <v>0</v>
      </c>
      <c r="Y1164" s="276"/>
      <c r="Z1164" s="276"/>
      <c r="AB1164" s="278" t="str">
        <f t="shared" si="167"/>
        <v/>
      </c>
    </row>
    <row r="1165" spans="1:28" s="277" customFormat="1" ht="20.25">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65"/>
        <v/>
      </c>
      <c r="T1165" s="225" t="str">
        <f ca="1">IF(B1165="","",IF(ISERROR(MATCH($J1165,SorP!$B$1:$B$6230,0)),"",INDIRECT("'SorP'!$A$"&amp;MATCH($J1165,SorP!$B$1:$B$6230,0))))</f>
        <v/>
      </c>
      <c r="U1165" s="241"/>
      <c r="V1165" s="275" t="e">
        <f>IF(C1165="",NA(),MATCH($B1165&amp;$C1165,'Smelter Look-up'!$J:$J,0))</f>
        <v>#N/A</v>
      </c>
      <c r="W1165" s="276"/>
      <c r="X1165" s="276">
        <f t="shared" ca="1" si="166"/>
        <v>0</v>
      </c>
      <c r="Y1165" s="276"/>
      <c r="Z1165" s="276"/>
      <c r="AB1165" s="278" t="str">
        <f t="shared" si="167"/>
        <v/>
      </c>
    </row>
    <row r="1166" spans="1:28" s="277" customFormat="1" ht="20.25">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65"/>
        <v/>
      </c>
      <c r="T1166" s="225" t="str">
        <f ca="1">IF(B1166="","",IF(ISERROR(MATCH($J1166,SorP!$B$1:$B$6230,0)),"",INDIRECT("'SorP'!$A$"&amp;MATCH($J1166,SorP!$B$1:$B$6230,0))))</f>
        <v/>
      </c>
      <c r="U1166" s="241"/>
      <c r="V1166" s="275" t="e">
        <f>IF(C1166="",NA(),MATCH($B1166&amp;$C1166,'Smelter Look-up'!$J:$J,0))</f>
        <v>#N/A</v>
      </c>
      <c r="W1166" s="276"/>
      <c r="X1166" s="276">
        <f t="shared" ca="1" si="166"/>
        <v>0</v>
      </c>
      <c r="Y1166" s="276"/>
      <c r="Z1166" s="276"/>
      <c r="AB1166" s="278" t="str">
        <f t="shared" si="167"/>
        <v/>
      </c>
    </row>
    <row r="1167" spans="1:28" s="277" customFormat="1" ht="20.25">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65"/>
        <v/>
      </c>
      <c r="T1167" s="225" t="str">
        <f ca="1">IF(B1167="","",IF(ISERROR(MATCH($J1167,SorP!$B$1:$B$6230,0)),"",INDIRECT("'SorP'!$A$"&amp;MATCH($J1167,SorP!$B$1:$B$6230,0))))</f>
        <v/>
      </c>
      <c r="U1167" s="241"/>
      <c r="V1167" s="275" t="e">
        <f>IF(C1167="",NA(),MATCH($B1167&amp;$C1167,'Smelter Look-up'!$J:$J,0))</f>
        <v>#N/A</v>
      </c>
      <c r="W1167" s="276"/>
      <c r="X1167" s="276">
        <f t="shared" ca="1" si="166"/>
        <v>0</v>
      </c>
      <c r="Y1167" s="276"/>
      <c r="Z1167" s="276"/>
      <c r="AB1167" s="278" t="str">
        <f t="shared" si="167"/>
        <v/>
      </c>
    </row>
    <row r="1168" spans="1:28" s="277" customFormat="1" ht="20.25">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65"/>
        <v/>
      </c>
      <c r="T1168" s="225" t="str">
        <f ca="1">IF(B1168="","",IF(ISERROR(MATCH($J1168,SorP!$B$1:$B$6230,0)),"",INDIRECT("'SorP'!$A$"&amp;MATCH($J1168,SorP!$B$1:$B$6230,0))))</f>
        <v/>
      </c>
      <c r="U1168" s="241"/>
      <c r="V1168" s="275" t="e">
        <f>IF(C1168="",NA(),MATCH($B1168&amp;$C1168,'Smelter Look-up'!$J:$J,0))</f>
        <v>#N/A</v>
      </c>
      <c r="W1168" s="276"/>
      <c r="X1168" s="276">
        <f t="shared" ca="1" si="166"/>
        <v>0</v>
      </c>
      <c r="Y1168" s="276"/>
      <c r="Z1168" s="276"/>
      <c r="AB1168" s="278" t="str">
        <f t="shared" si="167"/>
        <v/>
      </c>
    </row>
    <row r="1169" spans="1:28" s="277" customFormat="1" ht="20.25">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65"/>
        <v/>
      </c>
      <c r="T1169" s="225" t="str">
        <f ca="1">IF(B1169="","",IF(ISERROR(MATCH($J1169,SorP!$B$1:$B$6230,0)),"",INDIRECT("'SorP'!$A$"&amp;MATCH($J1169,SorP!$B$1:$B$6230,0))))</f>
        <v/>
      </c>
      <c r="U1169" s="241"/>
      <c r="V1169" s="275" t="e">
        <f>IF(C1169="",NA(),MATCH($B1169&amp;$C1169,'Smelter Look-up'!$J:$J,0))</f>
        <v>#N/A</v>
      </c>
      <c r="W1169" s="276"/>
      <c r="X1169" s="276">
        <f t="shared" ca="1" si="166"/>
        <v>0</v>
      </c>
      <c r="Y1169" s="276"/>
      <c r="Z1169" s="276"/>
      <c r="AB1169" s="278" t="str">
        <f t="shared" si="167"/>
        <v/>
      </c>
    </row>
    <row r="1170" spans="1:28" s="277" customFormat="1" ht="20.25">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65"/>
        <v/>
      </c>
      <c r="T1170" s="225" t="str">
        <f ca="1">IF(B1170="","",IF(ISERROR(MATCH($J1170,SorP!$B$1:$B$6230,0)),"",INDIRECT("'SorP'!$A$"&amp;MATCH($J1170,SorP!$B$1:$B$6230,0))))</f>
        <v/>
      </c>
      <c r="U1170" s="241"/>
      <c r="V1170" s="275" t="e">
        <f>IF(C1170="",NA(),MATCH($B1170&amp;$C1170,'Smelter Look-up'!$J:$J,0))</f>
        <v>#N/A</v>
      </c>
      <c r="W1170" s="276"/>
      <c r="X1170" s="276">
        <f t="shared" ca="1" si="166"/>
        <v>0</v>
      </c>
      <c r="Y1170" s="276"/>
      <c r="Z1170" s="276"/>
      <c r="AB1170" s="278" t="str">
        <f t="shared" si="167"/>
        <v/>
      </c>
    </row>
    <row r="1171" spans="1:28" s="277" customFormat="1" ht="20.25">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65"/>
        <v/>
      </c>
      <c r="T1171" s="225" t="str">
        <f ca="1">IF(B1171="","",IF(ISERROR(MATCH($J1171,SorP!$B$1:$B$6230,0)),"",INDIRECT("'SorP'!$A$"&amp;MATCH($J1171,SorP!$B$1:$B$6230,0))))</f>
        <v/>
      </c>
      <c r="U1171" s="241"/>
      <c r="V1171" s="275" t="e">
        <f>IF(C1171="",NA(),MATCH($B1171&amp;$C1171,'Smelter Look-up'!$J:$J,0))</f>
        <v>#N/A</v>
      </c>
      <c r="W1171" s="276"/>
      <c r="X1171" s="276">
        <f t="shared" ca="1" si="166"/>
        <v>0</v>
      </c>
      <c r="Y1171" s="276"/>
      <c r="Z1171" s="276"/>
      <c r="AB1171" s="278" t="str">
        <f t="shared" si="167"/>
        <v/>
      </c>
    </row>
    <row r="1172" spans="1:28" s="277" customFormat="1" ht="20.25">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65"/>
        <v/>
      </c>
      <c r="T1172" s="225" t="str">
        <f ca="1">IF(B1172="","",IF(ISERROR(MATCH($J1172,SorP!$B$1:$B$6230,0)),"",INDIRECT("'SorP'!$A$"&amp;MATCH($J1172,SorP!$B$1:$B$6230,0))))</f>
        <v/>
      </c>
      <c r="U1172" s="241"/>
      <c r="V1172" s="275" t="e">
        <f>IF(C1172="",NA(),MATCH($B1172&amp;$C1172,'Smelter Look-up'!$J:$J,0))</f>
        <v>#N/A</v>
      </c>
      <c r="W1172" s="276"/>
      <c r="X1172" s="276">
        <f t="shared" ca="1" si="166"/>
        <v>0</v>
      </c>
      <c r="Y1172" s="276"/>
      <c r="Z1172" s="276"/>
      <c r="AB1172" s="278" t="str">
        <f t="shared" si="167"/>
        <v/>
      </c>
    </row>
    <row r="1173" spans="1:28" s="277" customFormat="1" ht="20.25">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65"/>
        <v/>
      </c>
      <c r="T1173" s="225" t="str">
        <f ca="1">IF(B1173="","",IF(ISERROR(MATCH($J1173,SorP!$B$1:$B$6230,0)),"",INDIRECT("'SorP'!$A$"&amp;MATCH($J1173,SorP!$B$1:$B$6230,0))))</f>
        <v/>
      </c>
      <c r="U1173" s="241"/>
      <c r="V1173" s="275" t="e">
        <f>IF(C1173="",NA(),MATCH($B1173&amp;$C1173,'Smelter Look-up'!$J:$J,0))</f>
        <v>#N/A</v>
      </c>
      <c r="W1173" s="276"/>
      <c r="X1173" s="276">
        <f t="shared" ca="1" si="166"/>
        <v>0</v>
      </c>
      <c r="Y1173" s="276"/>
      <c r="Z1173" s="276"/>
      <c r="AB1173" s="278" t="str">
        <f t="shared" si="167"/>
        <v/>
      </c>
    </row>
    <row r="1174" spans="1:28" s="277" customFormat="1" ht="20.25">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65"/>
        <v/>
      </c>
      <c r="T1174" s="225" t="str">
        <f ca="1">IF(B1174="","",IF(ISERROR(MATCH($J1174,SorP!$B$1:$B$6230,0)),"",INDIRECT("'SorP'!$A$"&amp;MATCH($J1174,SorP!$B$1:$B$6230,0))))</f>
        <v/>
      </c>
      <c r="U1174" s="241"/>
      <c r="V1174" s="275" t="e">
        <f>IF(C1174="",NA(),MATCH($B1174&amp;$C1174,'Smelter Look-up'!$J:$J,0))</f>
        <v>#N/A</v>
      </c>
      <c r="W1174" s="276"/>
      <c r="X1174" s="276">
        <f t="shared" ca="1" si="166"/>
        <v>0</v>
      </c>
      <c r="Y1174" s="276"/>
      <c r="Z1174" s="276"/>
      <c r="AB1174" s="278" t="str">
        <f t="shared" si="167"/>
        <v/>
      </c>
    </row>
    <row r="1175" spans="1:28" s="277" customFormat="1" ht="20.25">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65"/>
        <v/>
      </c>
      <c r="T1175" s="225" t="str">
        <f ca="1">IF(B1175="","",IF(ISERROR(MATCH($J1175,SorP!$B$1:$B$6230,0)),"",INDIRECT("'SorP'!$A$"&amp;MATCH($J1175,SorP!$B$1:$B$6230,0))))</f>
        <v/>
      </c>
      <c r="U1175" s="241"/>
      <c r="V1175" s="275" t="e">
        <f>IF(C1175="",NA(),MATCH($B1175&amp;$C1175,'Smelter Look-up'!$J:$J,0))</f>
        <v>#N/A</v>
      </c>
      <c r="W1175" s="276"/>
      <c r="X1175" s="276">
        <f t="shared" ca="1" si="166"/>
        <v>0</v>
      </c>
      <c r="Y1175" s="276"/>
      <c r="Z1175" s="276"/>
      <c r="AB1175" s="278" t="str">
        <f t="shared" si="167"/>
        <v/>
      </c>
    </row>
    <row r="1176" spans="1:28" s="277" customFormat="1" ht="20.25">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65"/>
        <v/>
      </c>
      <c r="T1176" s="225" t="str">
        <f ca="1">IF(B1176="","",IF(ISERROR(MATCH($J1176,SorP!$B$1:$B$6230,0)),"",INDIRECT("'SorP'!$A$"&amp;MATCH($J1176,SorP!$B$1:$B$6230,0))))</f>
        <v/>
      </c>
      <c r="U1176" s="241"/>
      <c r="V1176" s="275" t="e">
        <f>IF(C1176="",NA(),MATCH($B1176&amp;$C1176,'Smelter Look-up'!$J:$J,0))</f>
        <v>#N/A</v>
      </c>
      <c r="W1176" s="276"/>
      <c r="X1176" s="276">
        <f t="shared" ca="1" si="166"/>
        <v>0</v>
      </c>
      <c r="Y1176" s="276"/>
      <c r="Z1176" s="276"/>
      <c r="AB1176" s="278" t="str">
        <f t="shared" si="167"/>
        <v/>
      </c>
    </row>
    <row r="1177" spans="1:28" s="277" customFormat="1" ht="20.25">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65"/>
        <v/>
      </c>
      <c r="T1177" s="225" t="str">
        <f ca="1">IF(B1177="","",IF(ISERROR(MATCH($J1177,SorP!$B$1:$B$6230,0)),"",INDIRECT("'SorP'!$A$"&amp;MATCH($J1177,SorP!$B$1:$B$6230,0))))</f>
        <v/>
      </c>
      <c r="U1177" s="241"/>
      <c r="V1177" s="275" t="e">
        <f>IF(C1177="",NA(),MATCH($B1177&amp;$C1177,'Smelter Look-up'!$J:$J,0))</f>
        <v>#N/A</v>
      </c>
      <c r="W1177" s="276"/>
      <c r="X1177" s="276">
        <f t="shared" ca="1" si="166"/>
        <v>0</v>
      </c>
      <c r="Y1177" s="276"/>
      <c r="Z1177" s="276"/>
      <c r="AB1177" s="278" t="str">
        <f t="shared" si="167"/>
        <v/>
      </c>
    </row>
    <row r="1178" spans="1:28" s="277" customFormat="1" ht="20.25">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65"/>
        <v/>
      </c>
      <c r="T1178" s="225" t="str">
        <f ca="1">IF(B1178="","",IF(ISERROR(MATCH($J1178,SorP!$B$1:$B$6230,0)),"",INDIRECT("'SorP'!$A$"&amp;MATCH($J1178,SorP!$B$1:$B$6230,0))))</f>
        <v/>
      </c>
      <c r="U1178" s="241"/>
      <c r="V1178" s="275" t="e">
        <f>IF(C1178="",NA(),MATCH($B1178&amp;$C1178,'Smelter Look-up'!$J:$J,0))</f>
        <v>#N/A</v>
      </c>
      <c r="W1178" s="276"/>
      <c r="X1178" s="276">
        <f t="shared" ca="1" si="166"/>
        <v>0</v>
      </c>
      <c r="Y1178" s="276"/>
      <c r="Z1178" s="276"/>
      <c r="AB1178" s="278" t="str">
        <f t="shared" si="167"/>
        <v/>
      </c>
    </row>
    <row r="1179" spans="1:28" s="277" customFormat="1" ht="20.25">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65"/>
        <v/>
      </c>
      <c r="T1179" s="225" t="str">
        <f ca="1">IF(B1179="","",IF(ISERROR(MATCH($J1179,SorP!$B$1:$B$6230,0)),"",INDIRECT("'SorP'!$A$"&amp;MATCH($J1179,SorP!$B$1:$B$6230,0))))</f>
        <v/>
      </c>
      <c r="U1179" s="241"/>
      <c r="V1179" s="275" t="e">
        <f>IF(C1179="",NA(),MATCH($B1179&amp;$C1179,'Smelter Look-up'!$J:$J,0))</f>
        <v>#N/A</v>
      </c>
      <c r="W1179" s="276"/>
      <c r="X1179" s="276">
        <f t="shared" ca="1" si="166"/>
        <v>0</v>
      </c>
      <c r="Y1179" s="276"/>
      <c r="Z1179" s="276"/>
      <c r="AB1179" s="278" t="str">
        <f t="shared" si="167"/>
        <v/>
      </c>
    </row>
    <row r="1180" spans="1:28" s="277" customFormat="1" ht="20.25">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ref="S1180:S1210" ca="1" si="168">IF(B1180="","",IF(ISERROR(MATCH($E1180,CL,0)),"Unknown",INDIRECT("'C'!$A$"&amp;MATCH($E1180,CL,0)+1)))</f>
        <v/>
      </c>
      <c r="T1180" s="225" t="str">
        <f ca="1">IF(B1180="","",IF(ISERROR(MATCH($J1180,SorP!$B$1:$B$6230,0)),"",INDIRECT("'SorP'!$A$"&amp;MATCH($J1180,SorP!$B$1:$B$6230,0))))</f>
        <v/>
      </c>
      <c r="U1180" s="241"/>
      <c r="V1180" s="275" t="e">
        <f>IF(C1180="",NA(),MATCH($B1180&amp;$C1180,'Smelter Look-up'!$J:$J,0))</f>
        <v>#N/A</v>
      </c>
      <c r="W1180" s="276"/>
      <c r="X1180" s="276">
        <f t="shared" ref="X1180:X1210" ca="1" si="169">IF(AND(C1180="Smelter not listed",OR(LEN(D1180)=0,LEN(E1180)=0)),1,0)</f>
        <v>0</v>
      </c>
      <c r="Y1180" s="276"/>
      <c r="Z1180" s="276"/>
      <c r="AB1180" s="278" t="str">
        <f t="shared" ref="AB1180:AB1210" si="170">B1180&amp;C1180</f>
        <v/>
      </c>
    </row>
    <row r="1181" spans="1:28" s="277" customFormat="1" ht="20.25">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68"/>
        <v/>
      </c>
      <c r="T1181" s="225" t="str">
        <f ca="1">IF(B1181="","",IF(ISERROR(MATCH($J1181,SorP!$B$1:$B$6230,0)),"",INDIRECT("'SorP'!$A$"&amp;MATCH($J1181,SorP!$B$1:$B$6230,0))))</f>
        <v/>
      </c>
      <c r="U1181" s="241"/>
      <c r="V1181" s="275" t="e">
        <f>IF(C1181="",NA(),MATCH($B1181&amp;$C1181,'Smelter Look-up'!$J:$J,0))</f>
        <v>#N/A</v>
      </c>
      <c r="W1181" s="276"/>
      <c r="X1181" s="276">
        <f t="shared" ca="1" si="169"/>
        <v>0</v>
      </c>
      <c r="Y1181" s="276"/>
      <c r="Z1181" s="276"/>
      <c r="AB1181" s="278" t="str">
        <f t="shared" si="170"/>
        <v/>
      </c>
    </row>
    <row r="1182" spans="1:28" s="277" customFormat="1" ht="20.25">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68"/>
        <v/>
      </c>
      <c r="T1182" s="225" t="str">
        <f ca="1">IF(B1182="","",IF(ISERROR(MATCH($J1182,SorP!$B$1:$B$6230,0)),"",INDIRECT("'SorP'!$A$"&amp;MATCH($J1182,SorP!$B$1:$B$6230,0))))</f>
        <v/>
      </c>
      <c r="U1182" s="241"/>
      <c r="V1182" s="275" t="e">
        <f>IF(C1182="",NA(),MATCH($B1182&amp;$C1182,'Smelter Look-up'!$J:$J,0))</f>
        <v>#N/A</v>
      </c>
      <c r="W1182" s="276"/>
      <c r="X1182" s="276">
        <f t="shared" ca="1" si="169"/>
        <v>0</v>
      </c>
      <c r="Y1182" s="276"/>
      <c r="Z1182" s="276"/>
      <c r="AB1182" s="278" t="str">
        <f t="shared" si="170"/>
        <v/>
      </c>
    </row>
    <row r="1183" spans="1:28" s="277" customFormat="1" ht="20.25">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68"/>
        <v/>
      </c>
      <c r="T1183" s="225" t="str">
        <f ca="1">IF(B1183="","",IF(ISERROR(MATCH($J1183,SorP!$B$1:$B$6230,0)),"",INDIRECT("'SorP'!$A$"&amp;MATCH($J1183,SorP!$B$1:$B$6230,0))))</f>
        <v/>
      </c>
      <c r="U1183" s="241"/>
      <c r="V1183" s="275" t="e">
        <f>IF(C1183="",NA(),MATCH($B1183&amp;$C1183,'Smelter Look-up'!$J:$J,0))</f>
        <v>#N/A</v>
      </c>
      <c r="W1183" s="276"/>
      <c r="X1183" s="276">
        <f t="shared" ca="1" si="169"/>
        <v>0</v>
      </c>
      <c r="Y1183" s="276"/>
      <c r="Z1183" s="276"/>
      <c r="AB1183" s="278" t="str">
        <f t="shared" si="170"/>
        <v/>
      </c>
    </row>
    <row r="1184" spans="1:28" s="277" customFormat="1" ht="20.25">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68"/>
        <v/>
      </c>
      <c r="T1184" s="225" t="str">
        <f ca="1">IF(B1184="","",IF(ISERROR(MATCH($J1184,SorP!$B$1:$B$6230,0)),"",INDIRECT("'SorP'!$A$"&amp;MATCH($J1184,SorP!$B$1:$B$6230,0))))</f>
        <v/>
      </c>
      <c r="U1184" s="241"/>
      <c r="V1184" s="275" t="e">
        <f>IF(C1184="",NA(),MATCH($B1184&amp;$C1184,'Smelter Look-up'!$J:$J,0))</f>
        <v>#N/A</v>
      </c>
      <c r="W1184" s="276"/>
      <c r="X1184" s="276">
        <f t="shared" ca="1" si="169"/>
        <v>0</v>
      </c>
      <c r="Y1184" s="276"/>
      <c r="Z1184" s="276"/>
      <c r="AB1184" s="278" t="str">
        <f t="shared" si="170"/>
        <v/>
      </c>
    </row>
    <row r="1185" spans="1:28" s="277" customFormat="1" ht="20.25">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68"/>
        <v/>
      </c>
      <c r="T1185" s="225" t="str">
        <f ca="1">IF(B1185="","",IF(ISERROR(MATCH($J1185,SorP!$B$1:$B$6230,0)),"",INDIRECT("'SorP'!$A$"&amp;MATCH($J1185,SorP!$B$1:$B$6230,0))))</f>
        <v/>
      </c>
      <c r="U1185" s="241"/>
      <c r="V1185" s="275" t="e">
        <f>IF(C1185="",NA(),MATCH($B1185&amp;$C1185,'Smelter Look-up'!$J:$J,0))</f>
        <v>#N/A</v>
      </c>
      <c r="W1185" s="276"/>
      <c r="X1185" s="276">
        <f t="shared" ca="1" si="169"/>
        <v>0</v>
      </c>
      <c r="Y1185" s="276"/>
      <c r="Z1185" s="276"/>
      <c r="AB1185" s="278" t="str">
        <f t="shared" si="170"/>
        <v/>
      </c>
    </row>
    <row r="1186" spans="1:28" s="277" customFormat="1" ht="20.25">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68"/>
        <v/>
      </c>
      <c r="T1186" s="225" t="str">
        <f ca="1">IF(B1186="","",IF(ISERROR(MATCH($J1186,SorP!$B$1:$B$6230,0)),"",INDIRECT("'SorP'!$A$"&amp;MATCH($J1186,SorP!$B$1:$B$6230,0))))</f>
        <v/>
      </c>
      <c r="U1186" s="241"/>
      <c r="V1186" s="275" t="e">
        <f>IF(C1186="",NA(),MATCH($B1186&amp;$C1186,'Smelter Look-up'!$J:$J,0))</f>
        <v>#N/A</v>
      </c>
      <c r="W1186" s="276"/>
      <c r="X1186" s="276">
        <f t="shared" ca="1" si="169"/>
        <v>0</v>
      </c>
      <c r="Y1186" s="276"/>
      <c r="Z1186" s="276"/>
      <c r="AB1186" s="278" t="str">
        <f t="shared" si="170"/>
        <v/>
      </c>
    </row>
    <row r="1187" spans="1:28" s="277" customFormat="1" ht="20.25">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68"/>
        <v/>
      </c>
      <c r="T1187" s="225" t="str">
        <f ca="1">IF(B1187="","",IF(ISERROR(MATCH($J1187,SorP!$B$1:$B$6230,0)),"",INDIRECT("'SorP'!$A$"&amp;MATCH($J1187,SorP!$B$1:$B$6230,0))))</f>
        <v/>
      </c>
      <c r="U1187" s="241"/>
      <c r="V1187" s="275" t="e">
        <f>IF(C1187="",NA(),MATCH($B1187&amp;$C1187,'Smelter Look-up'!$J:$J,0))</f>
        <v>#N/A</v>
      </c>
      <c r="W1187" s="276"/>
      <c r="X1187" s="276">
        <f t="shared" ca="1" si="169"/>
        <v>0</v>
      </c>
      <c r="Y1187" s="276"/>
      <c r="Z1187" s="276"/>
      <c r="AB1187" s="278" t="str">
        <f t="shared" si="170"/>
        <v/>
      </c>
    </row>
    <row r="1188" spans="1:28" s="277" customFormat="1" ht="20.25">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68"/>
        <v/>
      </c>
      <c r="T1188" s="225" t="str">
        <f ca="1">IF(B1188="","",IF(ISERROR(MATCH($J1188,SorP!$B$1:$B$6230,0)),"",INDIRECT("'SorP'!$A$"&amp;MATCH($J1188,SorP!$B$1:$B$6230,0))))</f>
        <v/>
      </c>
      <c r="U1188" s="241"/>
      <c r="V1188" s="275" t="e">
        <f>IF(C1188="",NA(),MATCH($B1188&amp;$C1188,'Smelter Look-up'!$J:$J,0))</f>
        <v>#N/A</v>
      </c>
      <c r="W1188" s="276"/>
      <c r="X1188" s="276">
        <f t="shared" ca="1" si="169"/>
        <v>0</v>
      </c>
      <c r="Y1188" s="276"/>
      <c r="Z1188" s="276"/>
      <c r="AB1188" s="278" t="str">
        <f t="shared" si="170"/>
        <v/>
      </c>
    </row>
    <row r="1189" spans="1:28" s="277" customFormat="1" ht="20.25">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68"/>
        <v/>
      </c>
      <c r="T1189" s="225" t="str">
        <f ca="1">IF(B1189="","",IF(ISERROR(MATCH($J1189,SorP!$B$1:$B$6230,0)),"",INDIRECT("'SorP'!$A$"&amp;MATCH($J1189,SorP!$B$1:$B$6230,0))))</f>
        <v/>
      </c>
      <c r="U1189" s="241"/>
      <c r="V1189" s="275" t="e">
        <f>IF(C1189="",NA(),MATCH($B1189&amp;$C1189,'Smelter Look-up'!$J:$J,0))</f>
        <v>#N/A</v>
      </c>
      <c r="W1189" s="276"/>
      <c r="X1189" s="276">
        <f t="shared" ca="1" si="169"/>
        <v>0</v>
      </c>
      <c r="Y1189" s="276"/>
      <c r="Z1189" s="276"/>
      <c r="AB1189" s="278" t="str">
        <f t="shared" si="170"/>
        <v/>
      </c>
    </row>
    <row r="1190" spans="1:28" s="277" customFormat="1" ht="20.25">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68"/>
        <v/>
      </c>
      <c r="T1190" s="225" t="str">
        <f ca="1">IF(B1190="","",IF(ISERROR(MATCH($J1190,SorP!$B$1:$B$6230,0)),"",INDIRECT("'SorP'!$A$"&amp;MATCH($J1190,SorP!$B$1:$B$6230,0))))</f>
        <v/>
      </c>
      <c r="U1190" s="241"/>
      <c r="V1190" s="275" t="e">
        <f>IF(C1190="",NA(),MATCH($B1190&amp;$C1190,'Smelter Look-up'!$J:$J,0))</f>
        <v>#N/A</v>
      </c>
      <c r="W1190" s="276"/>
      <c r="X1190" s="276">
        <f t="shared" ca="1" si="169"/>
        <v>0</v>
      </c>
      <c r="Y1190" s="276"/>
      <c r="Z1190" s="276"/>
      <c r="AB1190" s="278" t="str">
        <f t="shared" si="170"/>
        <v/>
      </c>
    </row>
    <row r="1191" spans="1:28" s="277" customFormat="1" ht="20.25">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68"/>
        <v/>
      </c>
      <c r="T1191" s="225" t="str">
        <f ca="1">IF(B1191="","",IF(ISERROR(MATCH($J1191,SorP!$B$1:$B$6230,0)),"",INDIRECT("'SorP'!$A$"&amp;MATCH($J1191,SorP!$B$1:$B$6230,0))))</f>
        <v/>
      </c>
      <c r="U1191" s="241"/>
      <c r="V1191" s="275" t="e">
        <f>IF(C1191="",NA(),MATCH($B1191&amp;$C1191,'Smelter Look-up'!$J:$J,0))</f>
        <v>#N/A</v>
      </c>
      <c r="W1191" s="276"/>
      <c r="X1191" s="276">
        <f t="shared" ca="1" si="169"/>
        <v>0</v>
      </c>
      <c r="Y1191" s="276"/>
      <c r="Z1191" s="276"/>
      <c r="AB1191" s="278" t="str">
        <f t="shared" si="170"/>
        <v/>
      </c>
    </row>
    <row r="1192" spans="1:28" s="277" customFormat="1" ht="20.25">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68"/>
        <v/>
      </c>
      <c r="T1192" s="225" t="str">
        <f ca="1">IF(B1192="","",IF(ISERROR(MATCH($J1192,SorP!$B$1:$B$6230,0)),"",INDIRECT("'SorP'!$A$"&amp;MATCH($J1192,SorP!$B$1:$B$6230,0))))</f>
        <v/>
      </c>
      <c r="U1192" s="241"/>
      <c r="V1192" s="275" t="e">
        <f>IF(C1192="",NA(),MATCH($B1192&amp;$C1192,'Smelter Look-up'!$J:$J,0))</f>
        <v>#N/A</v>
      </c>
      <c r="W1192" s="276"/>
      <c r="X1192" s="276">
        <f t="shared" ca="1" si="169"/>
        <v>0</v>
      </c>
      <c r="Y1192" s="276"/>
      <c r="Z1192" s="276"/>
      <c r="AB1192" s="278" t="str">
        <f t="shared" si="170"/>
        <v/>
      </c>
    </row>
    <row r="1193" spans="1:28" s="277" customFormat="1" ht="20.25">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68"/>
        <v/>
      </c>
      <c r="T1193" s="225" t="str">
        <f ca="1">IF(B1193="","",IF(ISERROR(MATCH($J1193,SorP!$B$1:$B$6230,0)),"",INDIRECT("'SorP'!$A$"&amp;MATCH($J1193,SorP!$B$1:$B$6230,0))))</f>
        <v/>
      </c>
      <c r="U1193" s="241"/>
      <c r="V1193" s="275" t="e">
        <f>IF(C1193="",NA(),MATCH($B1193&amp;$C1193,'Smelter Look-up'!$J:$J,0))</f>
        <v>#N/A</v>
      </c>
      <c r="W1193" s="276"/>
      <c r="X1193" s="276">
        <f t="shared" ca="1" si="169"/>
        <v>0</v>
      </c>
      <c r="Y1193" s="276"/>
      <c r="Z1193" s="276"/>
      <c r="AB1193" s="278" t="str">
        <f t="shared" si="170"/>
        <v/>
      </c>
    </row>
    <row r="1194" spans="1:28" s="277" customFormat="1" ht="20.25">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68"/>
        <v/>
      </c>
      <c r="T1194" s="225" t="str">
        <f ca="1">IF(B1194="","",IF(ISERROR(MATCH($J1194,SorP!$B$1:$B$6230,0)),"",INDIRECT("'SorP'!$A$"&amp;MATCH($J1194,SorP!$B$1:$B$6230,0))))</f>
        <v/>
      </c>
      <c r="U1194" s="241"/>
      <c r="V1194" s="275" t="e">
        <f>IF(C1194="",NA(),MATCH($B1194&amp;$C1194,'Smelter Look-up'!$J:$J,0))</f>
        <v>#N/A</v>
      </c>
      <c r="W1194" s="276"/>
      <c r="X1194" s="276">
        <f t="shared" ca="1" si="169"/>
        <v>0</v>
      </c>
      <c r="Y1194" s="276"/>
      <c r="Z1194" s="276"/>
      <c r="AB1194" s="278" t="str">
        <f t="shared" si="170"/>
        <v/>
      </c>
    </row>
    <row r="1195" spans="1:28" s="277" customFormat="1" ht="20.25">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68"/>
        <v/>
      </c>
      <c r="T1195" s="225" t="str">
        <f ca="1">IF(B1195="","",IF(ISERROR(MATCH($J1195,SorP!$B$1:$B$6230,0)),"",INDIRECT("'SorP'!$A$"&amp;MATCH($J1195,SorP!$B$1:$B$6230,0))))</f>
        <v/>
      </c>
      <c r="U1195" s="241"/>
      <c r="V1195" s="275" t="e">
        <f>IF(C1195="",NA(),MATCH($B1195&amp;$C1195,'Smelter Look-up'!$J:$J,0))</f>
        <v>#N/A</v>
      </c>
      <c r="W1195" s="276"/>
      <c r="X1195" s="276">
        <f t="shared" ca="1" si="169"/>
        <v>0</v>
      </c>
      <c r="Y1195" s="276"/>
      <c r="Z1195" s="276"/>
      <c r="AB1195" s="278" t="str">
        <f t="shared" si="170"/>
        <v/>
      </c>
    </row>
    <row r="1196" spans="1:28" s="277" customFormat="1" ht="20.25">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68"/>
        <v/>
      </c>
      <c r="T1196" s="225" t="str">
        <f ca="1">IF(B1196="","",IF(ISERROR(MATCH($J1196,SorP!$B$1:$B$6230,0)),"",INDIRECT("'SorP'!$A$"&amp;MATCH($J1196,SorP!$B$1:$B$6230,0))))</f>
        <v/>
      </c>
      <c r="U1196" s="241"/>
      <c r="V1196" s="275" t="e">
        <f>IF(C1196="",NA(),MATCH($B1196&amp;$C1196,'Smelter Look-up'!$J:$J,0))</f>
        <v>#N/A</v>
      </c>
      <c r="W1196" s="276"/>
      <c r="X1196" s="276">
        <f t="shared" ca="1" si="169"/>
        <v>0</v>
      </c>
      <c r="Y1196" s="276"/>
      <c r="Z1196" s="276"/>
      <c r="AB1196" s="278" t="str">
        <f t="shared" si="170"/>
        <v/>
      </c>
    </row>
    <row r="1197" spans="1:28" s="277" customFormat="1" ht="20.25">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68"/>
        <v/>
      </c>
      <c r="T1197" s="225" t="str">
        <f ca="1">IF(B1197="","",IF(ISERROR(MATCH($J1197,SorP!$B$1:$B$6230,0)),"",INDIRECT("'SorP'!$A$"&amp;MATCH($J1197,SorP!$B$1:$B$6230,0))))</f>
        <v/>
      </c>
      <c r="U1197" s="241"/>
      <c r="V1197" s="275" t="e">
        <f>IF(C1197="",NA(),MATCH($B1197&amp;$C1197,'Smelter Look-up'!$J:$J,0))</f>
        <v>#N/A</v>
      </c>
      <c r="W1197" s="276"/>
      <c r="X1197" s="276">
        <f t="shared" ca="1" si="169"/>
        <v>0</v>
      </c>
      <c r="Y1197" s="276"/>
      <c r="Z1197" s="276"/>
      <c r="AB1197" s="278" t="str">
        <f t="shared" si="170"/>
        <v/>
      </c>
    </row>
    <row r="1198" spans="1:28" s="277" customFormat="1" ht="20.25">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68"/>
        <v/>
      </c>
      <c r="T1198" s="225" t="str">
        <f ca="1">IF(B1198="","",IF(ISERROR(MATCH($J1198,SorP!$B$1:$B$6230,0)),"",INDIRECT("'SorP'!$A$"&amp;MATCH($J1198,SorP!$B$1:$B$6230,0))))</f>
        <v/>
      </c>
      <c r="U1198" s="241"/>
      <c r="V1198" s="275" t="e">
        <f>IF(C1198="",NA(),MATCH($B1198&amp;$C1198,'Smelter Look-up'!$J:$J,0))</f>
        <v>#N/A</v>
      </c>
      <c r="W1198" s="276"/>
      <c r="X1198" s="276">
        <f t="shared" ca="1" si="169"/>
        <v>0</v>
      </c>
      <c r="Y1198" s="276"/>
      <c r="Z1198" s="276"/>
      <c r="AB1198" s="278" t="str">
        <f t="shared" si="170"/>
        <v/>
      </c>
    </row>
    <row r="1199" spans="1:28" s="277" customFormat="1" ht="20.25">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68"/>
        <v/>
      </c>
      <c r="T1199" s="225" t="str">
        <f ca="1">IF(B1199="","",IF(ISERROR(MATCH($J1199,SorP!$B$1:$B$6230,0)),"",INDIRECT("'SorP'!$A$"&amp;MATCH($J1199,SorP!$B$1:$B$6230,0))))</f>
        <v/>
      </c>
      <c r="U1199" s="241"/>
      <c r="V1199" s="275" t="e">
        <f>IF(C1199="",NA(),MATCH($B1199&amp;$C1199,'Smelter Look-up'!$J:$J,0))</f>
        <v>#N/A</v>
      </c>
      <c r="W1199" s="276"/>
      <c r="X1199" s="276">
        <f t="shared" ca="1" si="169"/>
        <v>0</v>
      </c>
      <c r="Y1199" s="276"/>
      <c r="Z1199" s="276"/>
      <c r="AB1199" s="278" t="str">
        <f t="shared" si="170"/>
        <v/>
      </c>
    </row>
    <row r="1200" spans="1:28" s="277" customFormat="1" ht="20.25">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68"/>
        <v/>
      </c>
      <c r="T1200" s="225" t="str">
        <f ca="1">IF(B1200="","",IF(ISERROR(MATCH($J1200,SorP!$B$1:$B$6230,0)),"",INDIRECT("'SorP'!$A$"&amp;MATCH($J1200,SorP!$B$1:$B$6230,0))))</f>
        <v/>
      </c>
      <c r="U1200" s="241"/>
      <c r="V1200" s="275" t="e">
        <f>IF(C1200="",NA(),MATCH($B1200&amp;$C1200,'Smelter Look-up'!$J:$J,0))</f>
        <v>#N/A</v>
      </c>
      <c r="W1200" s="276"/>
      <c r="X1200" s="276">
        <f t="shared" ca="1" si="169"/>
        <v>0</v>
      </c>
      <c r="Y1200" s="276"/>
      <c r="Z1200" s="276"/>
      <c r="AB1200" s="278" t="str">
        <f t="shared" si="170"/>
        <v/>
      </c>
    </row>
    <row r="1201" spans="1:28" s="277" customFormat="1" ht="20.25">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68"/>
        <v/>
      </c>
      <c r="T1201" s="225" t="str">
        <f ca="1">IF(B1201="","",IF(ISERROR(MATCH($J1201,SorP!$B$1:$B$6230,0)),"",INDIRECT("'SorP'!$A$"&amp;MATCH($J1201,SorP!$B$1:$B$6230,0))))</f>
        <v/>
      </c>
      <c r="U1201" s="241"/>
      <c r="V1201" s="275" t="e">
        <f>IF(C1201="",NA(),MATCH($B1201&amp;$C1201,'Smelter Look-up'!$J:$J,0))</f>
        <v>#N/A</v>
      </c>
      <c r="W1201" s="276"/>
      <c r="X1201" s="276">
        <f t="shared" ca="1" si="169"/>
        <v>0</v>
      </c>
      <c r="Y1201" s="276"/>
      <c r="Z1201" s="276"/>
      <c r="AB1201" s="278" t="str">
        <f t="shared" si="170"/>
        <v/>
      </c>
    </row>
    <row r="1202" spans="1:28" s="277" customFormat="1" ht="20.25">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68"/>
        <v/>
      </c>
      <c r="T1202" s="225" t="str">
        <f ca="1">IF(B1202="","",IF(ISERROR(MATCH($J1202,SorP!$B$1:$B$6230,0)),"",INDIRECT("'SorP'!$A$"&amp;MATCH($J1202,SorP!$B$1:$B$6230,0))))</f>
        <v/>
      </c>
      <c r="U1202" s="241"/>
      <c r="V1202" s="275" t="e">
        <f>IF(C1202="",NA(),MATCH($B1202&amp;$C1202,'Smelter Look-up'!$J:$J,0))</f>
        <v>#N/A</v>
      </c>
      <c r="W1202" s="276"/>
      <c r="X1202" s="276">
        <f t="shared" ca="1" si="169"/>
        <v>0</v>
      </c>
      <c r="Y1202" s="276"/>
      <c r="Z1202" s="276"/>
      <c r="AB1202" s="278" t="str">
        <f t="shared" si="170"/>
        <v/>
      </c>
    </row>
    <row r="1203" spans="1:28" s="277" customFormat="1" ht="20.25">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68"/>
        <v/>
      </c>
      <c r="T1203" s="225" t="str">
        <f ca="1">IF(B1203="","",IF(ISERROR(MATCH($J1203,SorP!$B$1:$B$6230,0)),"",INDIRECT("'SorP'!$A$"&amp;MATCH($J1203,SorP!$B$1:$B$6230,0))))</f>
        <v/>
      </c>
      <c r="U1203" s="241"/>
      <c r="V1203" s="275" t="e">
        <f>IF(C1203="",NA(),MATCH($B1203&amp;$C1203,'Smelter Look-up'!$J:$J,0))</f>
        <v>#N/A</v>
      </c>
      <c r="W1203" s="276"/>
      <c r="X1203" s="276">
        <f t="shared" ca="1" si="169"/>
        <v>0</v>
      </c>
      <c r="Y1203" s="276"/>
      <c r="Z1203" s="276"/>
      <c r="AB1203" s="278" t="str">
        <f t="shared" si="170"/>
        <v/>
      </c>
    </row>
    <row r="1204" spans="1:28" s="277" customFormat="1" ht="20.25">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68"/>
        <v/>
      </c>
      <c r="T1204" s="225" t="str">
        <f ca="1">IF(B1204="","",IF(ISERROR(MATCH($J1204,SorP!$B$1:$B$6230,0)),"",INDIRECT("'SorP'!$A$"&amp;MATCH($J1204,SorP!$B$1:$B$6230,0))))</f>
        <v/>
      </c>
      <c r="U1204" s="241"/>
      <c r="V1204" s="275" t="e">
        <f>IF(C1204="",NA(),MATCH($B1204&amp;$C1204,'Smelter Look-up'!$J:$J,0))</f>
        <v>#N/A</v>
      </c>
      <c r="W1204" s="276"/>
      <c r="X1204" s="276">
        <f t="shared" ca="1" si="169"/>
        <v>0</v>
      </c>
      <c r="Y1204" s="276"/>
      <c r="Z1204" s="276"/>
      <c r="AB1204" s="278" t="str">
        <f t="shared" si="170"/>
        <v/>
      </c>
    </row>
    <row r="1205" spans="1:28" s="277" customFormat="1" ht="20.25">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68"/>
        <v/>
      </c>
      <c r="T1205" s="225" t="str">
        <f ca="1">IF(B1205="","",IF(ISERROR(MATCH($J1205,SorP!$B$1:$B$6230,0)),"",INDIRECT("'SorP'!$A$"&amp;MATCH($J1205,SorP!$B$1:$B$6230,0))))</f>
        <v/>
      </c>
      <c r="U1205" s="241"/>
      <c r="V1205" s="275" t="e">
        <f>IF(C1205="",NA(),MATCH($B1205&amp;$C1205,'Smelter Look-up'!$J:$J,0))</f>
        <v>#N/A</v>
      </c>
      <c r="W1205" s="276"/>
      <c r="X1205" s="276">
        <f t="shared" ca="1" si="169"/>
        <v>0</v>
      </c>
      <c r="Y1205" s="276"/>
      <c r="Z1205" s="276"/>
      <c r="AB1205" s="278" t="str">
        <f t="shared" si="170"/>
        <v/>
      </c>
    </row>
    <row r="1206" spans="1:28" s="277" customFormat="1" ht="20.25">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68"/>
        <v/>
      </c>
      <c r="T1206" s="225" t="str">
        <f ca="1">IF(B1206="","",IF(ISERROR(MATCH($J1206,SorP!$B$1:$B$6230,0)),"",INDIRECT("'SorP'!$A$"&amp;MATCH($J1206,SorP!$B$1:$B$6230,0))))</f>
        <v/>
      </c>
      <c r="U1206" s="241"/>
      <c r="V1206" s="275" t="e">
        <f>IF(C1206="",NA(),MATCH($B1206&amp;$C1206,'Smelter Look-up'!$J:$J,0))</f>
        <v>#N/A</v>
      </c>
      <c r="W1206" s="276"/>
      <c r="X1206" s="276">
        <f t="shared" ca="1" si="169"/>
        <v>0</v>
      </c>
      <c r="Y1206" s="276"/>
      <c r="Z1206" s="276"/>
      <c r="AB1206" s="278" t="str">
        <f t="shared" si="170"/>
        <v/>
      </c>
    </row>
    <row r="1207" spans="1:28" s="277" customFormat="1" ht="20.25">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68"/>
        <v/>
      </c>
      <c r="T1207" s="225" t="str">
        <f ca="1">IF(B1207="","",IF(ISERROR(MATCH($J1207,SorP!$B$1:$B$6230,0)),"",INDIRECT("'SorP'!$A$"&amp;MATCH($J1207,SorP!$B$1:$B$6230,0))))</f>
        <v/>
      </c>
      <c r="U1207" s="241"/>
      <c r="V1207" s="275" t="e">
        <f>IF(C1207="",NA(),MATCH($B1207&amp;$C1207,'Smelter Look-up'!$J:$J,0))</f>
        <v>#N/A</v>
      </c>
      <c r="W1207" s="276"/>
      <c r="X1207" s="276">
        <f t="shared" ca="1" si="169"/>
        <v>0</v>
      </c>
      <c r="Y1207" s="276"/>
      <c r="Z1207" s="276"/>
      <c r="AB1207" s="278" t="str">
        <f t="shared" si="170"/>
        <v/>
      </c>
    </row>
    <row r="1208" spans="1:28" s="277" customFormat="1" ht="20.25">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68"/>
        <v/>
      </c>
      <c r="T1208" s="225" t="str">
        <f ca="1">IF(B1208="","",IF(ISERROR(MATCH($J1208,SorP!$B$1:$B$6230,0)),"",INDIRECT("'SorP'!$A$"&amp;MATCH($J1208,SorP!$B$1:$B$6230,0))))</f>
        <v/>
      </c>
      <c r="U1208" s="241"/>
      <c r="V1208" s="275" t="e">
        <f>IF(C1208="",NA(),MATCH($B1208&amp;$C1208,'Smelter Look-up'!$J:$J,0))</f>
        <v>#N/A</v>
      </c>
      <c r="W1208" s="276"/>
      <c r="X1208" s="276">
        <f t="shared" ca="1" si="169"/>
        <v>0</v>
      </c>
      <c r="Y1208" s="276"/>
      <c r="Z1208" s="276"/>
      <c r="AB1208" s="278" t="str">
        <f t="shared" si="170"/>
        <v/>
      </c>
    </row>
    <row r="1209" spans="1:28" s="277" customFormat="1" ht="20.25">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68"/>
        <v/>
      </c>
      <c r="T1209" s="225" t="str">
        <f ca="1">IF(B1209="","",IF(ISERROR(MATCH($J1209,SorP!$B$1:$B$6230,0)),"",INDIRECT("'SorP'!$A$"&amp;MATCH($J1209,SorP!$B$1:$B$6230,0))))</f>
        <v/>
      </c>
      <c r="U1209" s="241"/>
      <c r="V1209" s="275" t="e">
        <f>IF(C1209="",NA(),MATCH($B1209&amp;$C1209,'Smelter Look-up'!$J:$J,0))</f>
        <v>#N/A</v>
      </c>
      <c r="W1209" s="276"/>
      <c r="X1209" s="276">
        <f t="shared" ca="1" si="169"/>
        <v>0</v>
      </c>
      <c r="Y1209" s="276"/>
      <c r="Z1209" s="276"/>
      <c r="AB1209" s="278" t="str">
        <f t="shared" si="170"/>
        <v/>
      </c>
    </row>
    <row r="1210" spans="1:28" s="277" customFormat="1" ht="20.25">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68"/>
        <v/>
      </c>
      <c r="T1210" s="225" t="str">
        <f ca="1">IF(B1210="","",IF(ISERROR(MATCH($J1210,SorP!$B$1:$B$6230,0)),"",INDIRECT("'SorP'!$A$"&amp;MATCH($J1210,SorP!$B$1:$B$6230,0))))</f>
        <v/>
      </c>
      <c r="U1210" s="241"/>
      <c r="V1210" s="275" t="e">
        <f>IF(C1210="",NA(),MATCH($B1210&amp;$C1210,'Smelter Look-up'!$J:$J,0))</f>
        <v>#N/A</v>
      </c>
      <c r="W1210" s="276"/>
      <c r="X1210" s="276">
        <f t="shared" ca="1" si="169"/>
        <v>0</v>
      </c>
      <c r="Y1210" s="276"/>
      <c r="Z1210" s="276"/>
      <c r="AB1210" s="278" t="str">
        <f t="shared" si="170"/>
        <v/>
      </c>
    </row>
    <row r="1211" spans="1:28" s="277" customFormat="1" ht="20.25">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ref="S1211" ca="1" si="171">IF(B1211="","",IF(ISERROR(MATCH($E1211,CL,0)),"Unknown",INDIRECT("'C'!$A$"&amp;MATCH($E1211,CL,0)+1)))</f>
        <v/>
      </c>
      <c r="T1211" s="225" t="str">
        <f ca="1">IF(B1211="","",IF(ISERROR(MATCH($J1211,SorP!$B$1:$B$6230,0)),"",INDIRECT("'SorP'!$A$"&amp;MATCH($J1211,SorP!$B$1:$B$6230,0))))</f>
        <v/>
      </c>
      <c r="U1211" s="241"/>
      <c r="V1211" s="275" t="e">
        <f>IF(C1211="",NA(),MATCH($B1211&amp;$C1211,'Smelter Look-up'!$J:$J,0))</f>
        <v>#N/A</v>
      </c>
      <c r="W1211" s="276"/>
      <c r="X1211" s="276">
        <f t="shared" ref="X1211" ca="1" si="172">IF(AND(C1211="Smelter not listed",OR(LEN(D1211)=0,LEN(E1211)=0)),1,0)</f>
        <v>0</v>
      </c>
      <c r="Y1211" s="276"/>
      <c r="Z1211" s="276"/>
      <c r="AB1211" s="278" t="str">
        <f t="shared" ref="AB1211" si="173">B1211&amp;C1211</f>
        <v/>
      </c>
    </row>
    <row r="1212" spans="1:28" s="277" customFormat="1" ht="20.25">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ref="S1212:S1243" ca="1" si="174">IF(B1212="","",IF(ISERROR(MATCH($E1212,CL,0)),"Unknown",INDIRECT("'C'!$A$"&amp;MATCH($E1212,CL,0)+1)))</f>
        <v/>
      </c>
      <c r="T1212" s="225" t="str">
        <f ca="1">IF(B1212="","",IF(ISERROR(MATCH($J1212,SorP!$B$1:$B$6230,0)),"",INDIRECT("'SorP'!$A$"&amp;MATCH($J1212,SorP!$B$1:$B$6230,0))))</f>
        <v/>
      </c>
      <c r="U1212" s="241"/>
      <c r="V1212" s="275" t="e">
        <f>IF(C1212="",NA(),MATCH($B1212&amp;$C1212,'Smelter Look-up'!$J:$J,0))</f>
        <v>#N/A</v>
      </c>
      <c r="W1212" s="276"/>
      <c r="X1212" s="276">
        <f t="shared" ref="X1212:X1243" ca="1" si="175">IF(AND(C1212="Smelter not listed",OR(LEN(D1212)=0,LEN(E1212)=0)),1,0)</f>
        <v>0</v>
      </c>
      <c r="Y1212" s="276"/>
      <c r="Z1212" s="276"/>
      <c r="AB1212" s="278" t="str">
        <f t="shared" ref="AB1212:AB1243" si="176">B1212&amp;C1212</f>
        <v/>
      </c>
    </row>
    <row r="1213" spans="1:28" s="277" customFormat="1" ht="20.25">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74"/>
        <v/>
      </c>
      <c r="T1213" s="225" t="str">
        <f ca="1">IF(B1213="","",IF(ISERROR(MATCH($J1213,SorP!$B$1:$B$6230,0)),"",INDIRECT("'SorP'!$A$"&amp;MATCH($J1213,SorP!$B$1:$B$6230,0))))</f>
        <v/>
      </c>
      <c r="U1213" s="241"/>
      <c r="V1213" s="275" t="e">
        <f>IF(C1213="",NA(),MATCH($B1213&amp;$C1213,'Smelter Look-up'!$J:$J,0))</f>
        <v>#N/A</v>
      </c>
      <c r="W1213" s="276"/>
      <c r="X1213" s="276">
        <f t="shared" ca="1" si="175"/>
        <v>0</v>
      </c>
      <c r="Y1213" s="276"/>
      <c r="Z1213" s="276"/>
      <c r="AB1213" s="278" t="str">
        <f t="shared" si="176"/>
        <v/>
      </c>
    </row>
    <row r="1214" spans="1:28" s="277" customFormat="1" ht="20.25">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74"/>
        <v/>
      </c>
      <c r="T1214" s="225" t="str">
        <f ca="1">IF(B1214="","",IF(ISERROR(MATCH($J1214,SorP!$B$1:$B$6230,0)),"",INDIRECT("'SorP'!$A$"&amp;MATCH($J1214,SorP!$B$1:$B$6230,0))))</f>
        <v/>
      </c>
      <c r="U1214" s="241"/>
      <c r="V1214" s="275" t="e">
        <f>IF(C1214="",NA(),MATCH($B1214&amp;$C1214,'Smelter Look-up'!$J:$J,0))</f>
        <v>#N/A</v>
      </c>
      <c r="W1214" s="276"/>
      <c r="X1214" s="276">
        <f t="shared" ca="1" si="175"/>
        <v>0</v>
      </c>
      <c r="Y1214" s="276"/>
      <c r="Z1214" s="276"/>
      <c r="AB1214" s="278" t="str">
        <f t="shared" si="176"/>
        <v/>
      </c>
    </row>
    <row r="1215" spans="1:28" s="277" customFormat="1" ht="20.25">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74"/>
        <v/>
      </c>
      <c r="T1215" s="225" t="str">
        <f ca="1">IF(B1215="","",IF(ISERROR(MATCH($J1215,SorP!$B$1:$B$6230,0)),"",INDIRECT("'SorP'!$A$"&amp;MATCH($J1215,SorP!$B$1:$B$6230,0))))</f>
        <v/>
      </c>
      <c r="U1215" s="241"/>
      <c r="V1215" s="275" t="e">
        <f>IF(C1215="",NA(),MATCH($B1215&amp;$C1215,'Smelter Look-up'!$J:$J,0))</f>
        <v>#N/A</v>
      </c>
      <c r="W1215" s="276"/>
      <c r="X1215" s="276">
        <f t="shared" ca="1" si="175"/>
        <v>0</v>
      </c>
      <c r="Y1215" s="276"/>
      <c r="Z1215" s="276"/>
      <c r="AB1215" s="278" t="str">
        <f t="shared" si="176"/>
        <v/>
      </c>
    </row>
    <row r="1216" spans="1:28" s="277" customFormat="1" ht="20.25">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74"/>
        <v/>
      </c>
      <c r="T1216" s="225" t="str">
        <f ca="1">IF(B1216="","",IF(ISERROR(MATCH($J1216,SorP!$B$1:$B$6230,0)),"",INDIRECT("'SorP'!$A$"&amp;MATCH($J1216,SorP!$B$1:$B$6230,0))))</f>
        <v/>
      </c>
      <c r="U1216" s="241"/>
      <c r="V1216" s="275" t="e">
        <f>IF(C1216="",NA(),MATCH($B1216&amp;$C1216,'Smelter Look-up'!$J:$J,0))</f>
        <v>#N/A</v>
      </c>
      <c r="W1216" s="276"/>
      <c r="X1216" s="276">
        <f t="shared" ca="1" si="175"/>
        <v>0</v>
      </c>
      <c r="Y1216" s="276"/>
      <c r="Z1216" s="276"/>
      <c r="AB1216" s="278" t="str">
        <f t="shared" si="176"/>
        <v/>
      </c>
    </row>
    <row r="1217" spans="1:28" s="277" customFormat="1" ht="20.25">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74"/>
        <v/>
      </c>
      <c r="T1217" s="225" t="str">
        <f ca="1">IF(B1217="","",IF(ISERROR(MATCH($J1217,SorP!$B$1:$B$6230,0)),"",INDIRECT("'SorP'!$A$"&amp;MATCH($J1217,SorP!$B$1:$B$6230,0))))</f>
        <v/>
      </c>
      <c r="U1217" s="241"/>
      <c r="V1217" s="275" t="e">
        <f>IF(C1217="",NA(),MATCH($B1217&amp;$C1217,'Smelter Look-up'!$J:$J,0))</f>
        <v>#N/A</v>
      </c>
      <c r="W1217" s="276"/>
      <c r="X1217" s="276">
        <f t="shared" ca="1" si="175"/>
        <v>0</v>
      </c>
      <c r="Y1217" s="276"/>
      <c r="Z1217" s="276"/>
      <c r="AB1217" s="278" t="str">
        <f t="shared" si="176"/>
        <v/>
      </c>
    </row>
    <row r="1218" spans="1:28" s="277" customFormat="1" ht="20.25">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74"/>
        <v/>
      </c>
      <c r="T1218" s="225" t="str">
        <f ca="1">IF(B1218="","",IF(ISERROR(MATCH($J1218,SorP!$B$1:$B$6230,0)),"",INDIRECT("'SorP'!$A$"&amp;MATCH($J1218,SorP!$B$1:$B$6230,0))))</f>
        <v/>
      </c>
      <c r="U1218" s="241"/>
      <c r="V1218" s="275" t="e">
        <f>IF(C1218="",NA(),MATCH($B1218&amp;$C1218,'Smelter Look-up'!$J:$J,0))</f>
        <v>#N/A</v>
      </c>
      <c r="W1218" s="276"/>
      <c r="X1218" s="276">
        <f t="shared" ca="1" si="175"/>
        <v>0</v>
      </c>
      <c r="Y1218" s="276"/>
      <c r="Z1218" s="276"/>
      <c r="AB1218" s="278" t="str">
        <f t="shared" si="176"/>
        <v/>
      </c>
    </row>
    <row r="1219" spans="1:28" s="277" customFormat="1" ht="20.25">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74"/>
        <v/>
      </c>
      <c r="T1219" s="225" t="str">
        <f ca="1">IF(B1219="","",IF(ISERROR(MATCH($J1219,SorP!$B$1:$B$6230,0)),"",INDIRECT("'SorP'!$A$"&amp;MATCH($J1219,SorP!$B$1:$B$6230,0))))</f>
        <v/>
      </c>
      <c r="U1219" s="241"/>
      <c r="V1219" s="275" t="e">
        <f>IF(C1219="",NA(),MATCH($B1219&amp;$C1219,'Smelter Look-up'!$J:$J,0))</f>
        <v>#N/A</v>
      </c>
      <c r="W1219" s="276"/>
      <c r="X1219" s="276">
        <f t="shared" ca="1" si="175"/>
        <v>0</v>
      </c>
      <c r="Y1219" s="276"/>
      <c r="Z1219" s="276"/>
      <c r="AB1219" s="278" t="str">
        <f t="shared" si="176"/>
        <v/>
      </c>
    </row>
    <row r="1220" spans="1:28" s="277" customFormat="1" ht="20.25">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74"/>
        <v/>
      </c>
      <c r="T1220" s="225" t="str">
        <f ca="1">IF(B1220="","",IF(ISERROR(MATCH($J1220,SorP!$B$1:$B$6230,0)),"",INDIRECT("'SorP'!$A$"&amp;MATCH($J1220,SorP!$B$1:$B$6230,0))))</f>
        <v/>
      </c>
      <c r="U1220" s="241"/>
      <c r="V1220" s="275" t="e">
        <f>IF(C1220="",NA(),MATCH($B1220&amp;$C1220,'Smelter Look-up'!$J:$J,0))</f>
        <v>#N/A</v>
      </c>
      <c r="W1220" s="276"/>
      <c r="X1220" s="276">
        <f t="shared" ca="1" si="175"/>
        <v>0</v>
      </c>
      <c r="Y1220" s="276"/>
      <c r="Z1220" s="276"/>
      <c r="AB1220" s="278" t="str">
        <f t="shared" si="176"/>
        <v/>
      </c>
    </row>
    <row r="1221" spans="1:28" s="277" customFormat="1" ht="20.25">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74"/>
        <v/>
      </c>
      <c r="T1221" s="225" t="str">
        <f ca="1">IF(B1221="","",IF(ISERROR(MATCH($J1221,SorP!$B$1:$B$6230,0)),"",INDIRECT("'SorP'!$A$"&amp;MATCH($J1221,SorP!$B$1:$B$6230,0))))</f>
        <v/>
      </c>
      <c r="U1221" s="241"/>
      <c r="V1221" s="275" t="e">
        <f>IF(C1221="",NA(),MATCH($B1221&amp;$C1221,'Smelter Look-up'!$J:$J,0))</f>
        <v>#N/A</v>
      </c>
      <c r="W1221" s="276"/>
      <c r="X1221" s="276">
        <f t="shared" ca="1" si="175"/>
        <v>0</v>
      </c>
      <c r="Y1221" s="276"/>
      <c r="Z1221" s="276"/>
      <c r="AB1221" s="278" t="str">
        <f t="shared" si="176"/>
        <v/>
      </c>
    </row>
    <row r="1222" spans="1:28" s="277" customFormat="1" ht="20.25">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74"/>
        <v/>
      </c>
      <c r="T1222" s="225" t="str">
        <f ca="1">IF(B1222="","",IF(ISERROR(MATCH($J1222,SorP!$B$1:$B$6230,0)),"",INDIRECT("'SorP'!$A$"&amp;MATCH($J1222,SorP!$B$1:$B$6230,0))))</f>
        <v/>
      </c>
      <c r="U1222" s="241"/>
      <c r="V1222" s="275" t="e">
        <f>IF(C1222="",NA(),MATCH($B1222&amp;$C1222,'Smelter Look-up'!$J:$J,0))</f>
        <v>#N/A</v>
      </c>
      <c r="W1222" s="276"/>
      <c r="X1222" s="276">
        <f t="shared" ca="1" si="175"/>
        <v>0</v>
      </c>
      <c r="Y1222" s="276"/>
      <c r="Z1222" s="276"/>
      <c r="AB1222" s="278" t="str">
        <f t="shared" si="176"/>
        <v/>
      </c>
    </row>
    <row r="1223" spans="1:28" s="277" customFormat="1" ht="20.25">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74"/>
        <v/>
      </c>
      <c r="T1223" s="225" t="str">
        <f ca="1">IF(B1223="","",IF(ISERROR(MATCH($J1223,SorP!$B$1:$B$6230,0)),"",INDIRECT("'SorP'!$A$"&amp;MATCH($J1223,SorP!$B$1:$B$6230,0))))</f>
        <v/>
      </c>
      <c r="U1223" s="241"/>
      <c r="V1223" s="275" t="e">
        <f>IF(C1223="",NA(),MATCH($B1223&amp;$C1223,'Smelter Look-up'!$J:$J,0))</f>
        <v>#N/A</v>
      </c>
      <c r="W1223" s="276"/>
      <c r="X1223" s="276">
        <f t="shared" ca="1" si="175"/>
        <v>0</v>
      </c>
      <c r="Y1223" s="276"/>
      <c r="Z1223" s="276"/>
      <c r="AB1223" s="278" t="str">
        <f t="shared" si="176"/>
        <v/>
      </c>
    </row>
    <row r="1224" spans="1:28" s="277" customFormat="1" ht="20.25">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74"/>
        <v/>
      </c>
      <c r="T1224" s="225" t="str">
        <f ca="1">IF(B1224="","",IF(ISERROR(MATCH($J1224,SorP!$B$1:$B$6230,0)),"",INDIRECT("'SorP'!$A$"&amp;MATCH($J1224,SorP!$B$1:$B$6230,0))))</f>
        <v/>
      </c>
      <c r="U1224" s="241"/>
      <c r="V1224" s="275" t="e">
        <f>IF(C1224="",NA(),MATCH($B1224&amp;$C1224,'Smelter Look-up'!$J:$J,0))</f>
        <v>#N/A</v>
      </c>
      <c r="W1224" s="276"/>
      <c r="X1224" s="276">
        <f t="shared" ca="1" si="175"/>
        <v>0</v>
      </c>
      <c r="Y1224" s="276"/>
      <c r="Z1224" s="276"/>
      <c r="AB1224" s="278" t="str">
        <f t="shared" si="176"/>
        <v/>
      </c>
    </row>
    <row r="1225" spans="1:28" s="277" customFormat="1" ht="20.25">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74"/>
        <v/>
      </c>
      <c r="T1225" s="225" t="str">
        <f ca="1">IF(B1225="","",IF(ISERROR(MATCH($J1225,SorP!$B$1:$B$6230,0)),"",INDIRECT("'SorP'!$A$"&amp;MATCH($J1225,SorP!$B$1:$B$6230,0))))</f>
        <v/>
      </c>
      <c r="U1225" s="241"/>
      <c r="V1225" s="275" t="e">
        <f>IF(C1225="",NA(),MATCH($B1225&amp;$C1225,'Smelter Look-up'!$J:$J,0))</f>
        <v>#N/A</v>
      </c>
      <c r="W1225" s="276"/>
      <c r="X1225" s="276">
        <f t="shared" ca="1" si="175"/>
        <v>0</v>
      </c>
      <c r="Y1225" s="276"/>
      <c r="Z1225" s="276"/>
      <c r="AB1225" s="278" t="str">
        <f t="shared" si="176"/>
        <v/>
      </c>
    </row>
    <row r="1226" spans="1:28" s="277" customFormat="1" ht="20.25">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74"/>
        <v/>
      </c>
      <c r="T1226" s="225" t="str">
        <f ca="1">IF(B1226="","",IF(ISERROR(MATCH($J1226,SorP!$B$1:$B$6230,0)),"",INDIRECT("'SorP'!$A$"&amp;MATCH($J1226,SorP!$B$1:$B$6230,0))))</f>
        <v/>
      </c>
      <c r="U1226" s="241"/>
      <c r="V1226" s="275" t="e">
        <f>IF(C1226="",NA(),MATCH($B1226&amp;$C1226,'Smelter Look-up'!$J:$J,0))</f>
        <v>#N/A</v>
      </c>
      <c r="W1226" s="276"/>
      <c r="X1226" s="276">
        <f t="shared" ca="1" si="175"/>
        <v>0</v>
      </c>
      <c r="Y1226" s="276"/>
      <c r="Z1226" s="276"/>
      <c r="AB1226" s="278" t="str">
        <f t="shared" si="176"/>
        <v/>
      </c>
    </row>
    <row r="1227" spans="1:28" s="277" customFormat="1" ht="20.25">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74"/>
        <v/>
      </c>
      <c r="T1227" s="225" t="str">
        <f ca="1">IF(B1227="","",IF(ISERROR(MATCH($J1227,SorP!$B$1:$B$6230,0)),"",INDIRECT("'SorP'!$A$"&amp;MATCH($J1227,SorP!$B$1:$B$6230,0))))</f>
        <v/>
      </c>
      <c r="U1227" s="241"/>
      <c r="V1227" s="275" t="e">
        <f>IF(C1227="",NA(),MATCH($B1227&amp;$C1227,'Smelter Look-up'!$J:$J,0))</f>
        <v>#N/A</v>
      </c>
      <c r="W1227" s="276"/>
      <c r="X1227" s="276">
        <f t="shared" ca="1" si="175"/>
        <v>0</v>
      </c>
      <c r="Y1227" s="276"/>
      <c r="Z1227" s="276"/>
      <c r="AB1227" s="278" t="str">
        <f t="shared" si="176"/>
        <v/>
      </c>
    </row>
    <row r="1228" spans="1:28" s="277" customFormat="1" ht="20.25">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74"/>
        <v/>
      </c>
      <c r="T1228" s="225" t="str">
        <f ca="1">IF(B1228="","",IF(ISERROR(MATCH($J1228,SorP!$B$1:$B$6230,0)),"",INDIRECT("'SorP'!$A$"&amp;MATCH($J1228,SorP!$B$1:$B$6230,0))))</f>
        <v/>
      </c>
      <c r="U1228" s="241"/>
      <c r="V1228" s="275" t="e">
        <f>IF(C1228="",NA(),MATCH($B1228&amp;$C1228,'Smelter Look-up'!$J:$J,0))</f>
        <v>#N/A</v>
      </c>
      <c r="W1228" s="276"/>
      <c r="X1228" s="276">
        <f t="shared" ca="1" si="175"/>
        <v>0</v>
      </c>
      <c r="Y1228" s="276"/>
      <c r="Z1228" s="276"/>
      <c r="AB1228" s="278" t="str">
        <f t="shared" si="176"/>
        <v/>
      </c>
    </row>
    <row r="1229" spans="1:28" s="277" customFormat="1" ht="20.25">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74"/>
        <v/>
      </c>
      <c r="T1229" s="225" t="str">
        <f ca="1">IF(B1229="","",IF(ISERROR(MATCH($J1229,SorP!$B$1:$B$6230,0)),"",INDIRECT("'SorP'!$A$"&amp;MATCH($J1229,SorP!$B$1:$B$6230,0))))</f>
        <v/>
      </c>
      <c r="U1229" s="241"/>
      <c r="V1229" s="275" t="e">
        <f>IF(C1229="",NA(),MATCH($B1229&amp;$C1229,'Smelter Look-up'!$J:$J,0))</f>
        <v>#N/A</v>
      </c>
      <c r="W1229" s="276"/>
      <c r="X1229" s="276">
        <f t="shared" ca="1" si="175"/>
        <v>0</v>
      </c>
      <c r="Y1229" s="276"/>
      <c r="Z1229" s="276"/>
      <c r="AB1229" s="278" t="str">
        <f t="shared" si="176"/>
        <v/>
      </c>
    </row>
    <row r="1230" spans="1:28" s="277" customFormat="1" ht="20.25">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74"/>
        <v/>
      </c>
      <c r="T1230" s="225" t="str">
        <f ca="1">IF(B1230="","",IF(ISERROR(MATCH($J1230,SorP!$B$1:$B$6230,0)),"",INDIRECT("'SorP'!$A$"&amp;MATCH($J1230,SorP!$B$1:$B$6230,0))))</f>
        <v/>
      </c>
      <c r="U1230" s="241"/>
      <c r="V1230" s="275" t="e">
        <f>IF(C1230="",NA(),MATCH($B1230&amp;$C1230,'Smelter Look-up'!$J:$J,0))</f>
        <v>#N/A</v>
      </c>
      <c r="W1230" s="276"/>
      <c r="X1230" s="276">
        <f t="shared" ca="1" si="175"/>
        <v>0</v>
      </c>
      <c r="Y1230" s="276"/>
      <c r="Z1230" s="276"/>
      <c r="AB1230" s="278" t="str">
        <f t="shared" si="176"/>
        <v/>
      </c>
    </row>
    <row r="1231" spans="1:28" s="277" customFormat="1" ht="20.25">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74"/>
        <v/>
      </c>
      <c r="T1231" s="225" t="str">
        <f ca="1">IF(B1231="","",IF(ISERROR(MATCH($J1231,SorP!$B$1:$B$6230,0)),"",INDIRECT("'SorP'!$A$"&amp;MATCH($J1231,SorP!$B$1:$B$6230,0))))</f>
        <v/>
      </c>
      <c r="U1231" s="241"/>
      <c r="V1231" s="275" t="e">
        <f>IF(C1231="",NA(),MATCH($B1231&amp;$C1231,'Smelter Look-up'!$J:$J,0))</f>
        <v>#N/A</v>
      </c>
      <c r="W1231" s="276"/>
      <c r="X1231" s="276">
        <f t="shared" ca="1" si="175"/>
        <v>0</v>
      </c>
      <c r="Y1231" s="276"/>
      <c r="Z1231" s="276"/>
      <c r="AB1231" s="278" t="str">
        <f t="shared" si="176"/>
        <v/>
      </c>
    </row>
    <row r="1232" spans="1:28" s="277" customFormat="1" ht="20.25">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174"/>
        <v/>
      </c>
      <c r="T1232" s="225" t="str">
        <f ca="1">IF(B1232="","",IF(ISERROR(MATCH($J1232,SorP!$B$1:$B$6230,0)),"",INDIRECT("'SorP'!$A$"&amp;MATCH($J1232,SorP!$B$1:$B$6230,0))))</f>
        <v/>
      </c>
      <c r="U1232" s="241"/>
      <c r="V1232" s="275" t="e">
        <f>IF(C1232="",NA(),MATCH($B1232&amp;$C1232,'Smelter Look-up'!$J:$J,0))</f>
        <v>#N/A</v>
      </c>
      <c r="W1232" s="276"/>
      <c r="X1232" s="276">
        <f t="shared" ca="1" si="175"/>
        <v>0</v>
      </c>
      <c r="Y1232" s="276"/>
      <c r="Z1232" s="276"/>
      <c r="AB1232" s="278" t="str">
        <f t="shared" si="176"/>
        <v/>
      </c>
    </row>
    <row r="1233" spans="1:28" s="277" customFormat="1" ht="20.25">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74"/>
        <v/>
      </c>
      <c r="T1233" s="225" t="str">
        <f ca="1">IF(B1233="","",IF(ISERROR(MATCH($J1233,SorP!$B$1:$B$6230,0)),"",INDIRECT("'SorP'!$A$"&amp;MATCH($J1233,SorP!$B$1:$B$6230,0))))</f>
        <v/>
      </c>
      <c r="U1233" s="241"/>
      <c r="V1233" s="275" t="e">
        <f>IF(C1233="",NA(),MATCH($B1233&amp;$C1233,'Smelter Look-up'!$J:$J,0))</f>
        <v>#N/A</v>
      </c>
      <c r="W1233" s="276"/>
      <c r="X1233" s="276">
        <f t="shared" ca="1" si="175"/>
        <v>0</v>
      </c>
      <c r="Y1233" s="276"/>
      <c r="Z1233" s="276"/>
      <c r="AB1233" s="278" t="str">
        <f t="shared" si="176"/>
        <v/>
      </c>
    </row>
    <row r="1234" spans="1:28" s="277" customFormat="1" ht="20.25">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174"/>
        <v/>
      </c>
      <c r="T1234" s="225" t="str">
        <f ca="1">IF(B1234="","",IF(ISERROR(MATCH($J1234,SorP!$B$1:$B$6230,0)),"",INDIRECT("'SorP'!$A$"&amp;MATCH($J1234,SorP!$B$1:$B$6230,0))))</f>
        <v/>
      </c>
      <c r="U1234" s="241"/>
      <c r="V1234" s="275" t="e">
        <f>IF(C1234="",NA(),MATCH($B1234&amp;$C1234,'Smelter Look-up'!$J:$J,0))</f>
        <v>#N/A</v>
      </c>
      <c r="W1234" s="276"/>
      <c r="X1234" s="276">
        <f t="shared" ca="1" si="175"/>
        <v>0</v>
      </c>
      <c r="Y1234" s="276"/>
      <c r="Z1234" s="276"/>
      <c r="AB1234" s="278" t="str">
        <f t="shared" si="176"/>
        <v/>
      </c>
    </row>
    <row r="1235" spans="1:28" s="277" customFormat="1" ht="20.25">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74"/>
        <v/>
      </c>
      <c r="T1235" s="225" t="str">
        <f ca="1">IF(B1235="","",IF(ISERROR(MATCH($J1235,SorP!$B$1:$B$6230,0)),"",INDIRECT("'SorP'!$A$"&amp;MATCH($J1235,SorP!$B$1:$B$6230,0))))</f>
        <v/>
      </c>
      <c r="U1235" s="241"/>
      <c r="V1235" s="275" t="e">
        <f>IF(C1235="",NA(),MATCH($B1235&amp;$C1235,'Smelter Look-up'!$J:$J,0))</f>
        <v>#N/A</v>
      </c>
      <c r="W1235" s="276"/>
      <c r="X1235" s="276">
        <f t="shared" ca="1" si="175"/>
        <v>0</v>
      </c>
      <c r="Y1235" s="276"/>
      <c r="Z1235" s="276"/>
      <c r="AB1235" s="278" t="str">
        <f t="shared" si="176"/>
        <v/>
      </c>
    </row>
    <row r="1236" spans="1:28" s="277" customFormat="1" ht="20.25">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74"/>
        <v/>
      </c>
      <c r="T1236" s="225" t="str">
        <f ca="1">IF(B1236="","",IF(ISERROR(MATCH($J1236,SorP!$B$1:$B$6230,0)),"",INDIRECT("'SorP'!$A$"&amp;MATCH($J1236,SorP!$B$1:$B$6230,0))))</f>
        <v/>
      </c>
      <c r="U1236" s="241"/>
      <c r="V1236" s="275" t="e">
        <f>IF(C1236="",NA(),MATCH($B1236&amp;$C1236,'Smelter Look-up'!$J:$J,0))</f>
        <v>#N/A</v>
      </c>
      <c r="W1236" s="276"/>
      <c r="X1236" s="276">
        <f t="shared" ca="1" si="175"/>
        <v>0</v>
      </c>
      <c r="Y1236" s="276"/>
      <c r="Z1236" s="276"/>
      <c r="AB1236" s="278" t="str">
        <f t="shared" si="176"/>
        <v/>
      </c>
    </row>
    <row r="1237" spans="1:28" s="277" customFormat="1" ht="20.25">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74"/>
        <v/>
      </c>
      <c r="T1237" s="225" t="str">
        <f ca="1">IF(B1237="","",IF(ISERROR(MATCH($J1237,SorP!$B$1:$B$6230,0)),"",INDIRECT("'SorP'!$A$"&amp;MATCH($J1237,SorP!$B$1:$B$6230,0))))</f>
        <v/>
      </c>
      <c r="U1237" s="241"/>
      <c r="V1237" s="275" t="e">
        <f>IF(C1237="",NA(),MATCH($B1237&amp;$C1237,'Smelter Look-up'!$J:$J,0))</f>
        <v>#N/A</v>
      </c>
      <c r="W1237" s="276"/>
      <c r="X1237" s="276">
        <f t="shared" ca="1" si="175"/>
        <v>0</v>
      </c>
      <c r="Y1237" s="276"/>
      <c r="Z1237" s="276"/>
      <c r="AB1237" s="278" t="str">
        <f t="shared" si="176"/>
        <v/>
      </c>
    </row>
    <row r="1238" spans="1:28" s="277" customFormat="1" ht="20.25">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74"/>
        <v/>
      </c>
      <c r="T1238" s="225" t="str">
        <f ca="1">IF(B1238="","",IF(ISERROR(MATCH($J1238,SorP!$B$1:$B$6230,0)),"",INDIRECT("'SorP'!$A$"&amp;MATCH($J1238,SorP!$B$1:$B$6230,0))))</f>
        <v/>
      </c>
      <c r="U1238" s="241"/>
      <c r="V1238" s="275" t="e">
        <f>IF(C1238="",NA(),MATCH($B1238&amp;$C1238,'Smelter Look-up'!$J:$J,0))</f>
        <v>#N/A</v>
      </c>
      <c r="W1238" s="276"/>
      <c r="X1238" s="276">
        <f t="shared" ca="1" si="175"/>
        <v>0</v>
      </c>
      <c r="Y1238" s="276"/>
      <c r="Z1238" s="276"/>
      <c r="AB1238" s="278" t="str">
        <f t="shared" si="176"/>
        <v/>
      </c>
    </row>
    <row r="1239" spans="1:28" s="277" customFormat="1" ht="20.25">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74"/>
        <v/>
      </c>
      <c r="T1239" s="225" t="str">
        <f ca="1">IF(B1239="","",IF(ISERROR(MATCH($J1239,SorP!$B$1:$B$6230,0)),"",INDIRECT("'SorP'!$A$"&amp;MATCH($J1239,SorP!$B$1:$B$6230,0))))</f>
        <v/>
      </c>
      <c r="U1239" s="241"/>
      <c r="V1239" s="275" t="e">
        <f>IF(C1239="",NA(),MATCH($B1239&amp;$C1239,'Smelter Look-up'!$J:$J,0))</f>
        <v>#N/A</v>
      </c>
      <c r="W1239" s="276"/>
      <c r="X1239" s="276">
        <f t="shared" ca="1" si="175"/>
        <v>0</v>
      </c>
      <c r="Y1239" s="276"/>
      <c r="Z1239" s="276"/>
      <c r="AB1239" s="278" t="str">
        <f t="shared" si="176"/>
        <v/>
      </c>
    </row>
    <row r="1240" spans="1:28" s="277" customFormat="1" ht="20.25">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74"/>
        <v/>
      </c>
      <c r="T1240" s="225" t="str">
        <f ca="1">IF(B1240="","",IF(ISERROR(MATCH($J1240,SorP!$B$1:$B$6230,0)),"",INDIRECT("'SorP'!$A$"&amp;MATCH($J1240,SorP!$B$1:$B$6230,0))))</f>
        <v/>
      </c>
      <c r="U1240" s="241"/>
      <c r="V1240" s="275" t="e">
        <f>IF(C1240="",NA(),MATCH($B1240&amp;$C1240,'Smelter Look-up'!$J:$J,0))</f>
        <v>#N/A</v>
      </c>
      <c r="W1240" s="276"/>
      <c r="X1240" s="276">
        <f t="shared" ca="1" si="175"/>
        <v>0</v>
      </c>
      <c r="Y1240" s="276"/>
      <c r="Z1240" s="276"/>
      <c r="AB1240" s="278" t="str">
        <f t="shared" si="176"/>
        <v/>
      </c>
    </row>
    <row r="1241" spans="1:28" s="277" customFormat="1" ht="20.25">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74"/>
        <v/>
      </c>
      <c r="T1241" s="225" t="str">
        <f ca="1">IF(B1241="","",IF(ISERROR(MATCH($J1241,SorP!$B$1:$B$6230,0)),"",INDIRECT("'SorP'!$A$"&amp;MATCH($J1241,SorP!$B$1:$B$6230,0))))</f>
        <v/>
      </c>
      <c r="U1241" s="241"/>
      <c r="V1241" s="275" t="e">
        <f>IF(C1241="",NA(),MATCH($B1241&amp;$C1241,'Smelter Look-up'!$J:$J,0))</f>
        <v>#N/A</v>
      </c>
      <c r="W1241" s="276"/>
      <c r="X1241" s="276">
        <f t="shared" ca="1" si="175"/>
        <v>0</v>
      </c>
      <c r="Y1241" s="276"/>
      <c r="Z1241" s="276"/>
      <c r="AB1241" s="278" t="str">
        <f t="shared" si="176"/>
        <v/>
      </c>
    </row>
    <row r="1242" spans="1:28" s="277" customFormat="1" ht="20.25">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74"/>
        <v/>
      </c>
      <c r="T1242" s="225" t="str">
        <f ca="1">IF(B1242="","",IF(ISERROR(MATCH($J1242,SorP!$B$1:$B$6230,0)),"",INDIRECT("'SorP'!$A$"&amp;MATCH($J1242,SorP!$B$1:$B$6230,0))))</f>
        <v/>
      </c>
      <c r="U1242" s="241"/>
      <c r="V1242" s="275" t="e">
        <f>IF(C1242="",NA(),MATCH($B1242&amp;$C1242,'Smelter Look-up'!$J:$J,0))</f>
        <v>#N/A</v>
      </c>
      <c r="W1242" s="276"/>
      <c r="X1242" s="276">
        <f t="shared" ca="1" si="175"/>
        <v>0</v>
      </c>
      <c r="Y1242" s="276"/>
      <c r="Z1242" s="276"/>
      <c r="AB1242" s="278" t="str">
        <f t="shared" si="176"/>
        <v/>
      </c>
    </row>
    <row r="1243" spans="1:28" s="277" customFormat="1" ht="20.25">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174"/>
        <v/>
      </c>
      <c r="T1243" s="225" t="str">
        <f ca="1">IF(B1243="","",IF(ISERROR(MATCH($J1243,SorP!$B$1:$B$6230,0)),"",INDIRECT("'SorP'!$A$"&amp;MATCH($J1243,SorP!$B$1:$B$6230,0))))</f>
        <v/>
      </c>
      <c r="U1243" s="241"/>
      <c r="V1243" s="275" t="e">
        <f>IF(C1243="",NA(),MATCH($B1243&amp;$C1243,'Smelter Look-up'!$J:$J,0))</f>
        <v>#N/A</v>
      </c>
      <c r="W1243" s="276"/>
      <c r="X1243" s="276">
        <f t="shared" ca="1" si="175"/>
        <v>0</v>
      </c>
      <c r="Y1243" s="276"/>
      <c r="Z1243" s="276"/>
      <c r="AB1243" s="278" t="str">
        <f t="shared" si="176"/>
        <v/>
      </c>
    </row>
    <row r="1244" spans="1:28" s="277" customFormat="1" ht="20.25">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ref="S1244:S1274" ca="1" si="177">IF(B1244="","",IF(ISERROR(MATCH($E1244,CL,0)),"Unknown",INDIRECT("'C'!$A$"&amp;MATCH($E1244,CL,0)+1)))</f>
        <v/>
      </c>
      <c r="T1244" s="225" t="str">
        <f ca="1">IF(B1244="","",IF(ISERROR(MATCH($J1244,SorP!$B$1:$B$6230,0)),"",INDIRECT("'SorP'!$A$"&amp;MATCH($J1244,SorP!$B$1:$B$6230,0))))</f>
        <v/>
      </c>
      <c r="U1244" s="241"/>
      <c r="V1244" s="275" t="e">
        <f>IF(C1244="",NA(),MATCH($B1244&amp;$C1244,'Smelter Look-up'!$J:$J,0))</f>
        <v>#N/A</v>
      </c>
      <c r="W1244" s="276"/>
      <c r="X1244" s="276">
        <f t="shared" ref="X1244:X1274" ca="1" si="178">IF(AND(C1244="Smelter not listed",OR(LEN(D1244)=0,LEN(E1244)=0)),1,0)</f>
        <v>0</v>
      </c>
      <c r="Y1244" s="276"/>
      <c r="Z1244" s="276"/>
      <c r="AB1244" s="278" t="str">
        <f t="shared" ref="AB1244:AB1274" si="179">B1244&amp;C1244</f>
        <v/>
      </c>
    </row>
    <row r="1245" spans="1:28" s="277" customFormat="1" ht="20.25">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77"/>
        <v/>
      </c>
      <c r="T1245" s="225" t="str">
        <f ca="1">IF(B1245="","",IF(ISERROR(MATCH($J1245,SorP!$B$1:$B$6230,0)),"",INDIRECT("'SorP'!$A$"&amp;MATCH($J1245,SorP!$B$1:$B$6230,0))))</f>
        <v/>
      </c>
      <c r="U1245" s="241"/>
      <c r="V1245" s="275" t="e">
        <f>IF(C1245="",NA(),MATCH($B1245&amp;$C1245,'Smelter Look-up'!$J:$J,0))</f>
        <v>#N/A</v>
      </c>
      <c r="W1245" s="276"/>
      <c r="X1245" s="276">
        <f t="shared" ca="1" si="178"/>
        <v>0</v>
      </c>
      <c r="Y1245" s="276"/>
      <c r="Z1245" s="276"/>
      <c r="AB1245" s="278" t="str">
        <f t="shared" si="179"/>
        <v/>
      </c>
    </row>
    <row r="1246" spans="1:28" s="277" customFormat="1" ht="20.25">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77"/>
        <v/>
      </c>
      <c r="T1246" s="225" t="str">
        <f ca="1">IF(B1246="","",IF(ISERROR(MATCH($J1246,SorP!$B$1:$B$6230,0)),"",INDIRECT("'SorP'!$A$"&amp;MATCH($J1246,SorP!$B$1:$B$6230,0))))</f>
        <v/>
      </c>
      <c r="U1246" s="241"/>
      <c r="V1246" s="275" t="e">
        <f>IF(C1246="",NA(),MATCH($B1246&amp;$C1246,'Smelter Look-up'!$J:$J,0))</f>
        <v>#N/A</v>
      </c>
      <c r="W1246" s="276"/>
      <c r="X1246" s="276">
        <f t="shared" ca="1" si="178"/>
        <v>0</v>
      </c>
      <c r="Y1246" s="276"/>
      <c r="Z1246" s="276"/>
      <c r="AB1246" s="278" t="str">
        <f t="shared" si="179"/>
        <v/>
      </c>
    </row>
    <row r="1247" spans="1:28" s="277" customFormat="1" ht="20.25">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77"/>
        <v/>
      </c>
      <c r="T1247" s="225" t="str">
        <f ca="1">IF(B1247="","",IF(ISERROR(MATCH($J1247,SorP!$B$1:$B$6230,0)),"",INDIRECT("'SorP'!$A$"&amp;MATCH($J1247,SorP!$B$1:$B$6230,0))))</f>
        <v/>
      </c>
      <c r="U1247" s="241"/>
      <c r="V1247" s="275" t="e">
        <f>IF(C1247="",NA(),MATCH($B1247&amp;$C1247,'Smelter Look-up'!$J:$J,0))</f>
        <v>#N/A</v>
      </c>
      <c r="W1247" s="276"/>
      <c r="X1247" s="276">
        <f t="shared" ca="1" si="178"/>
        <v>0</v>
      </c>
      <c r="Y1247" s="276"/>
      <c r="Z1247" s="276"/>
      <c r="AB1247" s="278" t="str">
        <f t="shared" si="179"/>
        <v/>
      </c>
    </row>
    <row r="1248" spans="1:28" s="277" customFormat="1" ht="20.25">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77"/>
        <v/>
      </c>
      <c r="T1248" s="225" t="str">
        <f ca="1">IF(B1248="","",IF(ISERROR(MATCH($J1248,SorP!$B$1:$B$6230,0)),"",INDIRECT("'SorP'!$A$"&amp;MATCH($J1248,SorP!$B$1:$B$6230,0))))</f>
        <v/>
      </c>
      <c r="U1248" s="241"/>
      <c r="V1248" s="275" t="e">
        <f>IF(C1248="",NA(),MATCH($B1248&amp;$C1248,'Smelter Look-up'!$J:$J,0))</f>
        <v>#N/A</v>
      </c>
      <c r="W1248" s="276"/>
      <c r="X1248" s="276">
        <f t="shared" ca="1" si="178"/>
        <v>0</v>
      </c>
      <c r="Y1248" s="276"/>
      <c r="Z1248" s="276"/>
      <c r="AB1248" s="278" t="str">
        <f t="shared" si="179"/>
        <v/>
      </c>
    </row>
    <row r="1249" spans="1:28" s="277" customFormat="1" ht="20.25">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77"/>
        <v/>
      </c>
      <c r="T1249" s="225" t="str">
        <f ca="1">IF(B1249="","",IF(ISERROR(MATCH($J1249,SorP!$B$1:$B$6230,0)),"",INDIRECT("'SorP'!$A$"&amp;MATCH($J1249,SorP!$B$1:$B$6230,0))))</f>
        <v/>
      </c>
      <c r="U1249" s="241"/>
      <c r="V1249" s="275" t="e">
        <f>IF(C1249="",NA(),MATCH($B1249&amp;$C1249,'Smelter Look-up'!$J:$J,0))</f>
        <v>#N/A</v>
      </c>
      <c r="W1249" s="276"/>
      <c r="X1249" s="276">
        <f t="shared" ca="1" si="178"/>
        <v>0</v>
      </c>
      <c r="Y1249" s="276"/>
      <c r="Z1249" s="276"/>
      <c r="AB1249" s="278" t="str">
        <f t="shared" si="179"/>
        <v/>
      </c>
    </row>
    <row r="1250" spans="1:28" s="277" customFormat="1" ht="20.25">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77"/>
        <v/>
      </c>
      <c r="T1250" s="225" t="str">
        <f ca="1">IF(B1250="","",IF(ISERROR(MATCH($J1250,SorP!$B$1:$B$6230,0)),"",INDIRECT("'SorP'!$A$"&amp;MATCH($J1250,SorP!$B$1:$B$6230,0))))</f>
        <v/>
      </c>
      <c r="U1250" s="241"/>
      <c r="V1250" s="275" t="e">
        <f>IF(C1250="",NA(),MATCH($B1250&amp;$C1250,'Smelter Look-up'!$J:$J,0))</f>
        <v>#N/A</v>
      </c>
      <c r="W1250" s="276"/>
      <c r="X1250" s="276">
        <f t="shared" ca="1" si="178"/>
        <v>0</v>
      </c>
      <c r="Y1250" s="276"/>
      <c r="Z1250" s="276"/>
      <c r="AB1250" s="278" t="str">
        <f t="shared" si="179"/>
        <v/>
      </c>
    </row>
    <row r="1251" spans="1:28" s="277" customFormat="1" ht="20.25">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77"/>
        <v/>
      </c>
      <c r="T1251" s="225" t="str">
        <f ca="1">IF(B1251="","",IF(ISERROR(MATCH($J1251,SorP!$B$1:$B$6230,0)),"",INDIRECT("'SorP'!$A$"&amp;MATCH($J1251,SorP!$B$1:$B$6230,0))))</f>
        <v/>
      </c>
      <c r="U1251" s="241"/>
      <c r="V1251" s="275" t="e">
        <f>IF(C1251="",NA(),MATCH($B1251&amp;$C1251,'Smelter Look-up'!$J:$J,0))</f>
        <v>#N/A</v>
      </c>
      <c r="W1251" s="276"/>
      <c r="X1251" s="276">
        <f t="shared" ca="1" si="178"/>
        <v>0</v>
      </c>
      <c r="Y1251" s="276"/>
      <c r="Z1251" s="276"/>
      <c r="AB1251" s="278" t="str">
        <f t="shared" si="179"/>
        <v/>
      </c>
    </row>
    <row r="1252" spans="1:28" s="277" customFormat="1" ht="20.25">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77"/>
        <v/>
      </c>
      <c r="T1252" s="225" t="str">
        <f ca="1">IF(B1252="","",IF(ISERROR(MATCH($J1252,SorP!$B$1:$B$6230,0)),"",INDIRECT("'SorP'!$A$"&amp;MATCH($J1252,SorP!$B$1:$B$6230,0))))</f>
        <v/>
      </c>
      <c r="U1252" s="241"/>
      <c r="V1252" s="275" t="e">
        <f>IF(C1252="",NA(),MATCH($B1252&amp;$C1252,'Smelter Look-up'!$J:$J,0))</f>
        <v>#N/A</v>
      </c>
      <c r="W1252" s="276"/>
      <c r="X1252" s="276">
        <f t="shared" ca="1" si="178"/>
        <v>0</v>
      </c>
      <c r="Y1252" s="276"/>
      <c r="Z1252" s="276"/>
      <c r="AB1252" s="278" t="str">
        <f t="shared" si="179"/>
        <v/>
      </c>
    </row>
    <row r="1253" spans="1:28" s="277" customFormat="1" ht="20.25">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77"/>
        <v/>
      </c>
      <c r="T1253" s="225" t="str">
        <f ca="1">IF(B1253="","",IF(ISERROR(MATCH($J1253,SorP!$B$1:$B$6230,0)),"",INDIRECT("'SorP'!$A$"&amp;MATCH($J1253,SorP!$B$1:$B$6230,0))))</f>
        <v/>
      </c>
      <c r="U1253" s="241"/>
      <c r="V1253" s="275" t="e">
        <f>IF(C1253="",NA(),MATCH($B1253&amp;$C1253,'Smelter Look-up'!$J:$J,0))</f>
        <v>#N/A</v>
      </c>
      <c r="W1253" s="276"/>
      <c r="X1253" s="276">
        <f t="shared" ca="1" si="178"/>
        <v>0</v>
      </c>
      <c r="Y1253" s="276"/>
      <c r="Z1253" s="276"/>
      <c r="AB1253" s="278" t="str">
        <f t="shared" si="179"/>
        <v/>
      </c>
    </row>
    <row r="1254" spans="1:28" s="277" customFormat="1" ht="20.25">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77"/>
        <v/>
      </c>
      <c r="T1254" s="225" t="str">
        <f ca="1">IF(B1254="","",IF(ISERROR(MATCH($J1254,SorP!$B$1:$B$6230,0)),"",INDIRECT("'SorP'!$A$"&amp;MATCH($J1254,SorP!$B$1:$B$6230,0))))</f>
        <v/>
      </c>
      <c r="U1254" s="241"/>
      <c r="V1254" s="275" t="e">
        <f>IF(C1254="",NA(),MATCH($B1254&amp;$C1254,'Smelter Look-up'!$J:$J,0))</f>
        <v>#N/A</v>
      </c>
      <c r="W1254" s="276"/>
      <c r="X1254" s="276">
        <f t="shared" ca="1" si="178"/>
        <v>0</v>
      </c>
      <c r="Y1254" s="276"/>
      <c r="Z1254" s="276"/>
      <c r="AB1254" s="278" t="str">
        <f t="shared" si="179"/>
        <v/>
      </c>
    </row>
    <row r="1255" spans="1:28" s="277" customFormat="1" ht="20.25">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77"/>
        <v/>
      </c>
      <c r="T1255" s="225" t="str">
        <f ca="1">IF(B1255="","",IF(ISERROR(MATCH($J1255,SorP!$B$1:$B$6230,0)),"",INDIRECT("'SorP'!$A$"&amp;MATCH($J1255,SorP!$B$1:$B$6230,0))))</f>
        <v/>
      </c>
      <c r="U1255" s="241"/>
      <c r="V1255" s="275" t="e">
        <f>IF(C1255="",NA(),MATCH($B1255&amp;$C1255,'Smelter Look-up'!$J:$J,0))</f>
        <v>#N/A</v>
      </c>
      <c r="W1255" s="276"/>
      <c r="X1255" s="276">
        <f t="shared" ca="1" si="178"/>
        <v>0</v>
      </c>
      <c r="Y1255" s="276"/>
      <c r="Z1255" s="276"/>
      <c r="AB1255" s="278" t="str">
        <f t="shared" si="179"/>
        <v/>
      </c>
    </row>
    <row r="1256" spans="1:28" s="277" customFormat="1" ht="20.25">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77"/>
        <v/>
      </c>
      <c r="T1256" s="225" t="str">
        <f ca="1">IF(B1256="","",IF(ISERROR(MATCH($J1256,SorP!$B$1:$B$6230,0)),"",INDIRECT("'SorP'!$A$"&amp;MATCH($J1256,SorP!$B$1:$B$6230,0))))</f>
        <v/>
      </c>
      <c r="U1256" s="241"/>
      <c r="V1256" s="275" t="e">
        <f>IF(C1256="",NA(),MATCH($B1256&amp;$C1256,'Smelter Look-up'!$J:$J,0))</f>
        <v>#N/A</v>
      </c>
      <c r="W1256" s="276"/>
      <c r="X1256" s="276">
        <f t="shared" ca="1" si="178"/>
        <v>0</v>
      </c>
      <c r="Y1256" s="276"/>
      <c r="Z1256" s="276"/>
      <c r="AB1256" s="278" t="str">
        <f t="shared" si="179"/>
        <v/>
      </c>
    </row>
    <row r="1257" spans="1:28" s="277" customFormat="1" ht="20.25">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77"/>
        <v/>
      </c>
      <c r="T1257" s="225" t="str">
        <f ca="1">IF(B1257="","",IF(ISERROR(MATCH($J1257,SorP!$B$1:$B$6230,0)),"",INDIRECT("'SorP'!$A$"&amp;MATCH($J1257,SorP!$B$1:$B$6230,0))))</f>
        <v/>
      </c>
      <c r="U1257" s="241"/>
      <c r="V1257" s="275" t="e">
        <f>IF(C1257="",NA(),MATCH($B1257&amp;$C1257,'Smelter Look-up'!$J:$J,0))</f>
        <v>#N/A</v>
      </c>
      <c r="W1257" s="276"/>
      <c r="X1257" s="276">
        <f t="shared" ca="1" si="178"/>
        <v>0</v>
      </c>
      <c r="Y1257" s="276"/>
      <c r="Z1257" s="276"/>
      <c r="AB1257" s="278" t="str">
        <f t="shared" si="179"/>
        <v/>
      </c>
    </row>
    <row r="1258" spans="1:28" s="277" customFormat="1" ht="20.25">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77"/>
        <v/>
      </c>
      <c r="T1258" s="225" t="str">
        <f ca="1">IF(B1258="","",IF(ISERROR(MATCH($J1258,SorP!$B$1:$B$6230,0)),"",INDIRECT("'SorP'!$A$"&amp;MATCH($J1258,SorP!$B$1:$B$6230,0))))</f>
        <v/>
      </c>
      <c r="U1258" s="241"/>
      <c r="V1258" s="275" t="e">
        <f>IF(C1258="",NA(),MATCH($B1258&amp;$C1258,'Smelter Look-up'!$J:$J,0))</f>
        <v>#N/A</v>
      </c>
      <c r="W1258" s="276"/>
      <c r="X1258" s="276">
        <f t="shared" ca="1" si="178"/>
        <v>0</v>
      </c>
      <c r="Y1258" s="276"/>
      <c r="Z1258" s="276"/>
      <c r="AB1258" s="278" t="str">
        <f t="shared" si="179"/>
        <v/>
      </c>
    </row>
    <row r="1259" spans="1:28" s="277" customFormat="1" ht="20.25">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77"/>
        <v/>
      </c>
      <c r="T1259" s="225" t="str">
        <f ca="1">IF(B1259="","",IF(ISERROR(MATCH($J1259,SorP!$B$1:$B$6230,0)),"",INDIRECT("'SorP'!$A$"&amp;MATCH($J1259,SorP!$B$1:$B$6230,0))))</f>
        <v/>
      </c>
      <c r="U1259" s="241"/>
      <c r="V1259" s="275" t="e">
        <f>IF(C1259="",NA(),MATCH($B1259&amp;$C1259,'Smelter Look-up'!$J:$J,0))</f>
        <v>#N/A</v>
      </c>
      <c r="W1259" s="276"/>
      <c r="X1259" s="276">
        <f t="shared" ca="1" si="178"/>
        <v>0</v>
      </c>
      <c r="Y1259" s="276"/>
      <c r="Z1259" s="276"/>
      <c r="AB1259" s="278" t="str">
        <f t="shared" si="179"/>
        <v/>
      </c>
    </row>
    <row r="1260" spans="1:28" s="277" customFormat="1" ht="20.25">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77"/>
        <v/>
      </c>
      <c r="T1260" s="225" t="str">
        <f ca="1">IF(B1260="","",IF(ISERROR(MATCH($J1260,SorP!$B$1:$B$6230,0)),"",INDIRECT("'SorP'!$A$"&amp;MATCH($J1260,SorP!$B$1:$B$6230,0))))</f>
        <v/>
      </c>
      <c r="U1260" s="241"/>
      <c r="V1260" s="275" t="e">
        <f>IF(C1260="",NA(),MATCH($B1260&amp;$C1260,'Smelter Look-up'!$J:$J,0))</f>
        <v>#N/A</v>
      </c>
      <c r="W1260" s="276"/>
      <c r="X1260" s="276">
        <f t="shared" ca="1" si="178"/>
        <v>0</v>
      </c>
      <c r="Y1260" s="276"/>
      <c r="Z1260" s="276"/>
      <c r="AB1260" s="278" t="str">
        <f t="shared" si="179"/>
        <v/>
      </c>
    </row>
    <row r="1261" spans="1:28" s="277" customFormat="1" ht="20.25">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77"/>
        <v/>
      </c>
      <c r="T1261" s="225" t="str">
        <f ca="1">IF(B1261="","",IF(ISERROR(MATCH($J1261,SorP!$B$1:$B$6230,0)),"",INDIRECT("'SorP'!$A$"&amp;MATCH($J1261,SorP!$B$1:$B$6230,0))))</f>
        <v/>
      </c>
      <c r="U1261" s="241"/>
      <c r="V1261" s="275" t="e">
        <f>IF(C1261="",NA(),MATCH($B1261&amp;$C1261,'Smelter Look-up'!$J:$J,0))</f>
        <v>#N/A</v>
      </c>
      <c r="W1261" s="276"/>
      <c r="X1261" s="276">
        <f t="shared" ca="1" si="178"/>
        <v>0</v>
      </c>
      <c r="Y1261" s="276"/>
      <c r="Z1261" s="276"/>
      <c r="AB1261" s="278" t="str">
        <f t="shared" si="179"/>
        <v/>
      </c>
    </row>
    <row r="1262" spans="1:28" s="277" customFormat="1" ht="20.25">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77"/>
        <v/>
      </c>
      <c r="T1262" s="225" t="str">
        <f ca="1">IF(B1262="","",IF(ISERROR(MATCH($J1262,SorP!$B$1:$B$6230,0)),"",INDIRECT("'SorP'!$A$"&amp;MATCH($J1262,SorP!$B$1:$B$6230,0))))</f>
        <v/>
      </c>
      <c r="U1262" s="241"/>
      <c r="V1262" s="275" t="e">
        <f>IF(C1262="",NA(),MATCH($B1262&amp;$C1262,'Smelter Look-up'!$J:$J,0))</f>
        <v>#N/A</v>
      </c>
      <c r="W1262" s="276"/>
      <c r="X1262" s="276">
        <f t="shared" ca="1" si="178"/>
        <v>0</v>
      </c>
      <c r="Y1262" s="276"/>
      <c r="Z1262" s="276"/>
      <c r="AB1262" s="278" t="str">
        <f t="shared" si="179"/>
        <v/>
      </c>
    </row>
    <row r="1263" spans="1:28" s="277" customFormat="1" ht="20.25">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177"/>
        <v/>
      </c>
      <c r="T1263" s="225" t="str">
        <f ca="1">IF(B1263="","",IF(ISERROR(MATCH($J1263,SorP!$B$1:$B$6230,0)),"",INDIRECT("'SorP'!$A$"&amp;MATCH($J1263,SorP!$B$1:$B$6230,0))))</f>
        <v/>
      </c>
      <c r="U1263" s="241"/>
      <c r="V1263" s="275" t="e">
        <f>IF(C1263="",NA(),MATCH($B1263&amp;$C1263,'Smelter Look-up'!$J:$J,0))</f>
        <v>#N/A</v>
      </c>
      <c r="W1263" s="276"/>
      <c r="X1263" s="276">
        <f t="shared" ca="1" si="178"/>
        <v>0</v>
      </c>
      <c r="Y1263" s="276"/>
      <c r="Z1263" s="276"/>
      <c r="AB1263" s="278" t="str">
        <f t="shared" si="179"/>
        <v/>
      </c>
    </row>
    <row r="1264" spans="1:28" s="277" customFormat="1" ht="20.25">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177"/>
        <v/>
      </c>
      <c r="T1264" s="225" t="str">
        <f ca="1">IF(B1264="","",IF(ISERROR(MATCH($J1264,SorP!$B$1:$B$6230,0)),"",INDIRECT("'SorP'!$A$"&amp;MATCH($J1264,SorP!$B$1:$B$6230,0))))</f>
        <v/>
      </c>
      <c r="U1264" s="241"/>
      <c r="V1264" s="275" t="e">
        <f>IF(C1264="",NA(),MATCH($B1264&amp;$C1264,'Smelter Look-up'!$J:$J,0))</f>
        <v>#N/A</v>
      </c>
      <c r="W1264" s="276"/>
      <c r="X1264" s="276">
        <f t="shared" ca="1" si="178"/>
        <v>0</v>
      </c>
      <c r="Y1264" s="276"/>
      <c r="Z1264" s="276"/>
      <c r="AB1264" s="278" t="str">
        <f t="shared" si="179"/>
        <v/>
      </c>
    </row>
    <row r="1265" spans="1:28" s="277" customFormat="1" ht="20.25">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177"/>
        <v/>
      </c>
      <c r="T1265" s="225" t="str">
        <f ca="1">IF(B1265="","",IF(ISERROR(MATCH($J1265,SorP!$B$1:$B$6230,0)),"",INDIRECT("'SorP'!$A$"&amp;MATCH($J1265,SorP!$B$1:$B$6230,0))))</f>
        <v/>
      </c>
      <c r="U1265" s="241"/>
      <c r="V1265" s="275" t="e">
        <f>IF(C1265="",NA(),MATCH($B1265&amp;$C1265,'Smelter Look-up'!$J:$J,0))</f>
        <v>#N/A</v>
      </c>
      <c r="W1265" s="276"/>
      <c r="X1265" s="276">
        <f t="shared" ca="1" si="178"/>
        <v>0</v>
      </c>
      <c r="Y1265" s="276"/>
      <c r="Z1265" s="276"/>
      <c r="AB1265" s="278" t="str">
        <f t="shared" si="179"/>
        <v/>
      </c>
    </row>
    <row r="1266" spans="1:28" s="277" customFormat="1" ht="20.25">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177"/>
        <v/>
      </c>
      <c r="T1266" s="225" t="str">
        <f ca="1">IF(B1266="","",IF(ISERROR(MATCH($J1266,SorP!$B$1:$B$6230,0)),"",INDIRECT("'SorP'!$A$"&amp;MATCH($J1266,SorP!$B$1:$B$6230,0))))</f>
        <v/>
      </c>
      <c r="U1266" s="241"/>
      <c r="V1266" s="275" t="e">
        <f>IF(C1266="",NA(),MATCH($B1266&amp;$C1266,'Smelter Look-up'!$J:$J,0))</f>
        <v>#N/A</v>
      </c>
      <c r="W1266" s="276"/>
      <c r="X1266" s="276">
        <f t="shared" ca="1" si="178"/>
        <v>0</v>
      </c>
      <c r="Y1266" s="276"/>
      <c r="Z1266" s="276"/>
      <c r="AB1266" s="278" t="str">
        <f t="shared" si="179"/>
        <v/>
      </c>
    </row>
    <row r="1267" spans="1:28" s="277" customFormat="1" ht="20.25">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77"/>
        <v/>
      </c>
      <c r="T1267" s="225" t="str">
        <f ca="1">IF(B1267="","",IF(ISERROR(MATCH($J1267,SorP!$B$1:$B$6230,0)),"",INDIRECT("'SorP'!$A$"&amp;MATCH($J1267,SorP!$B$1:$B$6230,0))))</f>
        <v/>
      </c>
      <c r="U1267" s="241"/>
      <c r="V1267" s="275" t="e">
        <f>IF(C1267="",NA(),MATCH($B1267&amp;$C1267,'Smelter Look-up'!$J:$J,0))</f>
        <v>#N/A</v>
      </c>
      <c r="W1267" s="276"/>
      <c r="X1267" s="276">
        <f t="shared" ca="1" si="178"/>
        <v>0</v>
      </c>
      <c r="Y1267" s="276"/>
      <c r="Z1267" s="276"/>
      <c r="AB1267" s="278" t="str">
        <f t="shared" si="179"/>
        <v/>
      </c>
    </row>
    <row r="1268" spans="1:28" s="277" customFormat="1" ht="20.25">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77"/>
        <v/>
      </c>
      <c r="T1268" s="225" t="str">
        <f ca="1">IF(B1268="","",IF(ISERROR(MATCH($J1268,SorP!$B$1:$B$6230,0)),"",INDIRECT("'SorP'!$A$"&amp;MATCH($J1268,SorP!$B$1:$B$6230,0))))</f>
        <v/>
      </c>
      <c r="U1268" s="241"/>
      <c r="V1268" s="275" t="e">
        <f>IF(C1268="",NA(),MATCH($B1268&amp;$C1268,'Smelter Look-up'!$J:$J,0))</f>
        <v>#N/A</v>
      </c>
      <c r="W1268" s="276"/>
      <c r="X1268" s="276">
        <f t="shared" ca="1" si="178"/>
        <v>0</v>
      </c>
      <c r="Y1268" s="276"/>
      <c r="Z1268" s="276"/>
      <c r="AB1268" s="278" t="str">
        <f t="shared" si="179"/>
        <v/>
      </c>
    </row>
    <row r="1269" spans="1:28" s="277" customFormat="1" ht="20.25">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77"/>
        <v/>
      </c>
      <c r="T1269" s="225" t="str">
        <f ca="1">IF(B1269="","",IF(ISERROR(MATCH($J1269,SorP!$B$1:$B$6230,0)),"",INDIRECT("'SorP'!$A$"&amp;MATCH($J1269,SorP!$B$1:$B$6230,0))))</f>
        <v/>
      </c>
      <c r="U1269" s="241"/>
      <c r="V1269" s="275" t="e">
        <f>IF(C1269="",NA(),MATCH($B1269&amp;$C1269,'Smelter Look-up'!$J:$J,0))</f>
        <v>#N/A</v>
      </c>
      <c r="W1269" s="276"/>
      <c r="X1269" s="276">
        <f t="shared" ca="1" si="178"/>
        <v>0</v>
      </c>
      <c r="Y1269" s="276"/>
      <c r="Z1269" s="276"/>
      <c r="AB1269" s="278" t="str">
        <f t="shared" si="179"/>
        <v/>
      </c>
    </row>
    <row r="1270" spans="1:28" s="277" customFormat="1" ht="20.25">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77"/>
        <v/>
      </c>
      <c r="T1270" s="225" t="str">
        <f ca="1">IF(B1270="","",IF(ISERROR(MATCH($J1270,SorP!$B$1:$B$6230,0)),"",INDIRECT("'SorP'!$A$"&amp;MATCH($J1270,SorP!$B$1:$B$6230,0))))</f>
        <v/>
      </c>
      <c r="U1270" s="241"/>
      <c r="V1270" s="275" t="e">
        <f>IF(C1270="",NA(),MATCH($B1270&amp;$C1270,'Smelter Look-up'!$J:$J,0))</f>
        <v>#N/A</v>
      </c>
      <c r="W1270" s="276"/>
      <c r="X1270" s="276">
        <f t="shared" ca="1" si="178"/>
        <v>0</v>
      </c>
      <c r="Y1270" s="276"/>
      <c r="Z1270" s="276"/>
      <c r="AB1270" s="278" t="str">
        <f t="shared" si="179"/>
        <v/>
      </c>
    </row>
    <row r="1271" spans="1:28" s="277" customFormat="1" ht="20.25">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77"/>
        <v/>
      </c>
      <c r="T1271" s="225" t="str">
        <f ca="1">IF(B1271="","",IF(ISERROR(MATCH($J1271,SorP!$B$1:$B$6230,0)),"",INDIRECT("'SorP'!$A$"&amp;MATCH($J1271,SorP!$B$1:$B$6230,0))))</f>
        <v/>
      </c>
      <c r="U1271" s="241"/>
      <c r="V1271" s="275" t="e">
        <f>IF(C1271="",NA(),MATCH($B1271&amp;$C1271,'Smelter Look-up'!$J:$J,0))</f>
        <v>#N/A</v>
      </c>
      <c r="W1271" s="276"/>
      <c r="X1271" s="276">
        <f t="shared" ca="1" si="178"/>
        <v>0</v>
      </c>
      <c r="Y1271" s="276"/>
      <c r="Z1271" s="276"/>
      <c r="AB1271" s="278" t="str">
        <f t="shared" si="179"/>
        <v/>
      </c>
    </row>
    <row r="1272" spans="1:28" s="277" customFormat="1" ht="20.25">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77"/>
        <v/>
      </c>
      <c r="T1272" s="225" t="str">
        <f ca="1">IF(B1272="","",IF(ISERROR(MATCH($J1272,SorP!$B$1:$B$6230,0)),"",INDIRECT("'SorP'!$A$"&amp;MATCH($J1272,SorP!$B$1:$B$6230,0))))</f>
        <v/>
      </c>
      <c r="U1272" s="241"/>
      <c r="V1272" s="275" t="e">
        <f>IF(C1272="",NA(),MATCH($B1272&amp;$C1272,'Smelter Look-up'!$J:$J,0))</f>
        <v>#N/A</v>
      </c>
      <c r="W1272" s="276"/>
      <c r="X1272" s="276">
        <f t="shared" ca="1" si="178"/>
        <v>0</v>
      </c>
      <c r="Y1272" s="276"/>
      <c r="Z1272" s="276"/>
      <c r="AB1272" s="278" t="str">
        <f t="shared" si="179"/>
        <v/>
      </c>
    </row>
    <row r="1273" spans="1:28" s="277" customFormat="1" ht="20.25">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77"/>
        <v/>
      </c>
      <c r="T1273" s="225" t="str">
        <f ca="1">IF(B1273="","",IF(ISERROR(MATCH($J1273,SorP!$B$1:$B$6230,0)),"",INDIRECT("'SorP'!$A$"&amp;MATCH($J1273,SorP!$B$1:$B$6230,0))))</f>
        <v/>
      </c>
      <c r="U1273" s="241"/>
      <c r="V1273" s="275" t="e">
        <f>IF(C1273="",NA(),MATCH($B1273&amp;$C1273,'Smelter Look-up'!$J:$J,0))</f>
        <v>#N/A</v>
      </c>
      <c r="W1273" s="276"/>
      <c r="X1273" s="276">
        <f t="shared" ca="1" si="178"/>
        <v>0</v>
      </c>
      <c r="Y1273" s="276"/>
      <c r="Z1273" s="276"/>
      <c r="AB1273" s="278" t="str">
        <f t="shared" si="179"/>
        <v/>
      </c>
    </row>
    <row r="1274" spans="1:28" s="277" customFormat="1" ht="20.25">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177"/>
        <v/>
      </c>
      <c r="T1274" s="225" t="str">
        <f ca="1">IF(B1274="","",IF(ISERROR(MATCH($J1274,SorP!$B$1:$B$6230,0)),"",INDIRECT("'SorP'!$A$"&amp;MATCH($J1274,SorP!$B$1:$B$6230,0))))</f>
        <v/>
      </c>
      <c r="U1274" s="241"/>
      <c r="V1274" s="275" t="e">
        <f>IF(C1274="",NA(),MATCH($B1274&amp;$C1274,'Smelter Look-up'!$J:$J,0))</f>
        <v>#N/A</v>
      </c>
      <c r="W1274" s="276"/>
      <c r="X1274" s="276">
        <f t="shared" ca="1" si="178"/>
        <v>0</v>
      </c>
      <c r="Y1274" s="276"/>
      <c r="Z1274" s="276"/>
      <c r="AB1274" s="278" t="str">
        <f t="shared" si="179"/>
        <v/>
      </c>
    </row>
    <row r="1275" spans="1:28" s="277" customFormat="1" ht="20.25">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ref="S1275" ca="1" si="180">IF(B1275="","",IF(ISERROR(MATCH($E1275,CL,0)),"Unknown",INDIRECT("'C'!$A$"&amp;MATCH($E1275,CL,0)+1)))</f>
        <v/>
      </c>
      <c r="T1275" s="225" t="str">
        <f ca="1">IF(B1275="","",IF(ISERROR(MATCH($J1275,SorP!$B$1:$B$6230,0)),"",INDIRECT("'SorP'!$A$"&amp;MATCH($J1275,SorP!$B$1:$B$6230,0))))</f>
        <v/>
      </c>
      <c r="U1275" s="241"/>
      <c r="V1275" s="275" t="e">
        <f>IF(C1275="",NA(),MATCH($B1275&amp;$C1275,'Smelter Look-up'!$J:$J,0))</f>
        <v>#N/A</v>
      </c>
      <c r="W1275" s="276"/>
      <c r="X1275" s="276">
        <f t="shared" ref="X1275" ca="1" si="181">IF(AND(C1275="Smelter not listed",OR(LEN(D1275)=0,LEN(E1275)=0)),1,0)</f>
        <v>0</v>
      </c>
      <c r="Y1275" s="276"/>
      <c r="Z1275" s="276"/>
      <c r="AB1275" s="278" t="str">
        <f t="shared" ref="AB1275" si="182">B1275&amp;C1275</f>
        <v/>
      </c>
    </row>
    <row r="1276" spans="1:28" s="277" customFormat="1" ht="20.25">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ref="S1276:S1307" ca="1" si="183">IF(B1276="","",IF(ISERROR(MATCH($E1276,CL,0)),"Unknown",INDIRECT("'C'!$A$"&amp;MATCH($E1276,CL,0)+1)))</f>
        <v/>
      </c>
      <c r="T1276" s="225" t="str">
        <f ca="1">IF(B1276="","",IF(ISERROR(MATCH($J1276,SorP!$B$1:$B$6230,0)),"",INDIRECT("'SorP'!$A$"&amp;MATCH($J1276,SorP!$B$1:$B$6230,0))))</f>
        <v/>
      </c>
      <c r="U1276" s="241"/>
      <c r="V1276" s="275" t="e">
        <f>IF(C1276="",NA(),MATCH($B1276&amp;$C1276,'Smelter Look-up'!$J:$J,0))</f>
        <v>#N/A</v>
      </c>
      <c r="W1276" s="276"/>
      <c r="X1276" s="276">
        <f t="shared" ref="X1276:X1307" ca="1" si="184">IF(AND(C1276="Smelter not listed",OR(LEN(D1276)=0,LEN(E1276)=0)),1,0)</f>
        <v>0</v>
      </c>
      <c r="Y1276" s="276"/>
      <c r="Z1276" s="276"/>
      <c r="AB1276" s="278" t="str">
        <f t="shared" ref="AB1276:AB1307" si="185">B1276&amp;C1276</f>
        <v/>
      </c>
    </row>
    <row r="1277" spans="1:28" s="277" customFormat="1" ht="20.25">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83"/>
        <v/>
      </c>
      <c r="T1277" s="225" t="str">
        <f ca="1">IF(B1277="","",IF(ISERROR(MATCH($J1277,SorP!$B$1:$B$6230,0)),"",INDIRECT("'SorP'!$A$"&amp;MATCH($J1277,SorP!$B$1:$B$6230,0))))</f>
        <v/>
      </c>
      <c r="U1277" s="241"/>
      <c r="V1277" s="275" t="e">
        <f>IF(C1277="",NA(),MATCH($B1277&amp;$C1277,'Smelter Look-up'!$J:$J,0))</f>
        <v>#N/A</v>
      </c>
      <c r="W1277" s="276"/>
      <c r="X1277" s="276">
        <f t="shared" ca="1" si="184"/>
        <v>0</v>
      </c>
      <c r="Y1277" s="276"/>
      <c r="Z1277" s="276"/>
      <c r="AB1277" s="278" t="str">
        <f t="shared" si="185"/>
        <v/>
      </c>
    </row>
    <row r="1278" spans="1:28" s="277" customFormat="1" ht="20.25">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83"/>
        <v/>
      </c>
      <c r="T1278" s="225" t="str">
        <f ca="1">IF(B1278="","",IF(ISERROR(MATCH($J1278,SorP!$B$1:$B$6230,0)),"",INDIRECT("'SorP'!$A$"&amp;MATCH($J1278,SorP!$B$1:$B$6230,0))))</f>
        <v/>
      </c>
      <c r="U1278" s="241"/>
      <c r="V1278" s="275" t="e">
        <f>IF(C1278="",NA(),MATCH($B1278&amp;$C1278,'Smelter Look-up'!$J:$J,0))</f>
        <v>#N/A</v>
      </c>
      <c r="W1278" s="276"/>
      <c r="X1278" s="276">
        <f t="shared" ca="1" si="184"/>
        <v>0</v>
      </c>
      <c r="Y1278" s="276"/>
      <c r="Z1278" s="276"/>
      <c r="AB1278" s="278" t="str">
        <f t="shared" si="185"/>
        <v/>
      </c>
    </row>
    <row r="1279" spans="1:28" s="277" customFormat="1" ht="20.25">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83"/>
        <v/>
      </c>
      <c r="T1279" s="225" t="str">
        <f ca="1">IF(B1279="","",IF(ISERROR(MATCH($J1279,SorP!$B$1:$B$6230,0)),"",INDIRECT("'SorP'!$A$"&amp;MATCH($J1279,SorP!$B$1:$B$6230,0))))</f>
        <v/>
      </c>
      <c r="U1279" s="241"/>
      <c r="V1279" s="275" t="e">
        <f>IF(C1279="",NA(),MATCH($B1279&amp;$C1279,'Smelter Look-up'!$J:$J,0))</f>
        <v>#N/A</v>
      </c>
      <c r="W1279" s="276"/>
      <c r="X1279" s="276">
        <f t="shared" ca="1" si="184"/>
        <v>0</v>
      </c>
      <c r="Y1279" s="276"/>
      <c r="Z1279" s="276"/>
      <c r="AB1279" s="278" t="str">
        <f t="shared" si="185"/>
        <v/>
      </c>
    </row>
    <row r="1280" spans="1:28" s="277" customFormat="1" ht="20.25">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83"/>
        <v/>
      </c>
      <c r="T1280" s="225" t="str">
        <f ca="1">IF(B1280="","",IF(ISERROR(MATCH($J1280,SorP!$B$1:$B$6230,0)),"",INDIRECT("'SorP'!$A$"&amp;MATCH($J1280,SorP!$B$1:$B$6230,0))))</f>
        <v/>
      </c>
      <c r="U1280" s="241"/>
      <c r="V1280" s="275" t="e">
        <f>IF(C1280="",NA(),MATCH($B1280&amp;$C1280,'Smelter Look-up'!$J:$J,0))</f>
        <v>#N/A</v>
      </c>
      <c r="W1280" s="276"/>
      <c r="X1280" s="276">
        <f t="shared" ca="1" si="184"/>
        <v>0</v>
      </c>
      <c r="Y1280" s="276"/>
      <c r="Z1280" s="276"/>
      <c r="AB1280" s="278" t="str">
        <f t="shared" si="185"/>
        <v/>
      </c>
    </row>
    <row r="1281" spans="1:28" s="277" customFormat="1" ht="20.25">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83"/>
        <v/>
      </c>
      <c r="T1281" s="225" t="str">
        <f ca="1">IF(B1281="","",IF(ISERROR(MATCH($J1281,SorP!$B$1:$B$6230,0)),"",INDIRECT("'SorP'!$A$"&amp;MATCH($J1281,SorP!$B$1:$B$6230,0))))</f>
        <v/>
      </c>
      <c r="U1281" s="241"/>
      <c r="V1281" s="275" t="e">
        <f>IF(C1281="",NA(),MATCH($B1281&amp;$C1281,'Smelter Look-up'!$J:$J,0))</f>
        <v>#N/A</v>
      </c>
      <c r="W1281" s="276"/>
      <c r="X1281" s="276">
        <f t="shared" ca="1" si="184"/>
        <v>0</v>
      </c>
      <c r="Y1281" s="276"/>
      <c r="Z1281" s="276"/>
      <c r="AB1281" s="278" t="str">
        <f t="shared" si="185"/>
        <v/>
      </c>
    </row>
    <row r="1282" spans="1:28" s="277" customFormat="1" ht="20.25">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83"/>
        <v/>
      </c>
      <c r="T1282" s="225" t="str">
        <f ca="1">IF(B1282="","",IF(ISERROR(MATCH($J1282,SorP!$B$1:$B$6230,0)),"",INDIRECT("'SorP'!$A$"&amp;MATCH($J1282,SorP!$B$1:$B$6230,0))))</f>
        <v/>
      </c>
      <c r="U1282" s="241"/>
      <c r="V1282" s="275" t="e">
        <f>IF(C1282="",NA(),MATCH($B1282&amp;$C1282,'Smelter Look-up'!$J:$J,0))</f>
        <v>#N/A</v>
      </c>
      <c r="W1282" s="276"/>
      <c r="X1282" s="276">
        <f t="shared" ca="1" si="184"/>
        <v>0</v>
      </c>
      <c r="Y1282" s="276"/>
      <c r="Z1282" s="276"/>
      <c r="AB1282" s="278" t="str">
        <f t="shared" si="185"/>
        <v/>
      </c>
    </row>
    <row r="1283" spans="1:28" s="277" customFormat="1" ht="20.25">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83"/>
        <v/>
      </c>
      <c r="T1283" s="225" t="str">
        <f ca="1">IF(B1283="","",IF(ISERROR(MATCH($J1283,SorP!$B$1:$B$6230,0)),"",INDIRECT("'SorP'!$A$"&amp;MATCH($J1283,SorP!$B$1:$B$6230,0))))</f>
        <v/>
      </c>
      <c r="U1283" s="241"/>
      <c r="V1283" s="275" t="e">
        <f>IF(C1283="",NA(),MATCH($B1283&amp;$C1283,'Smelter Look-up'!$J:$J,0))</f>
        <v>#N/A</v>
      </c>
      <c r="W1283" s="276"/>
      <c r="X1283" s="276">
        <f t="shared" ca="1" si="184"/>
        <v>0</v>
      </c>
      <c r="Y1283" s="276"/>
      <c r="Z1283" s="276"/>
      <c r="AB1283" s="278" t="str">
        <f t="shared" si="185"/>
        <v/>
      </c>
    </row>
    <row r="1284" spans="1:28" s="277" customFormat="1" ht="20.25">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83"/>
        <v/>
      </c>
      <c r="T1284" s="225" t="str">
        <f ca="1">IF(B1284="","",IF(ISERROR(MATCH($J1284,SorP!$B$1:$B$6230,0)),"",INDIRECT("'SorP'!$A$"&amp;MATCH($J1284,SorP!$B$1:$B$6230,0))))</f>
        <v/>
      </c>
      <c r="U1284" s="241"/>
      <c r="V1284" s="275" t="e">
        <f>IF(C1284="",NA(),MATCH($B1284&amp;$C1284,'Smelter Look-up'!$J:$J,0))</f>
        <v>#N/A</v>
      </c>
      <c r="W1284" s="276"/>
      <c r="X1284" s="276">
        <f t="shared" ca="1" si="184"/>
        <v>0</v>
      </c>
      <c r="Y1284" s="276"/>
      <c r="Z1284" s="276"/>
      <c r="AB1284" s="278" t="str">
        <f t="shared" si="185"/>
        <v/>
      </c>
    </row>
    <row r="1285" spans="1:28" s="277" customFormat="1" ht="20.25">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83"/>
        <v/>
      </c>
      <c r="T1285" s="225" t="str">
        <f ca="1">IF(B1285="","",IF(ISERROR(MATCH($J1285,SorP!$B$1:$B$6230,0)),"",INDIRECT("'SorP'!$A$"&amp;MATCH($J1285,SorP!$B$1:$B$6230,0))))</f>
        <v/>
      </c>
      <c r="U1285" s="241"/>
      <c r="V1285" s="275" t="e">
        <f>IF(C1285="",NA(),MATCH($B1285&amp;$C1285,'Smelter Look-up'!$J:$J,0))</f>
        <v>#N/A</v>
      </c>
      <c r="W1285" s="276"/>
      <c r="X1285" s="276">
        <f t="shared" ca="1" si="184"/>
        <v>0</v>
      </c>
      <c r="Y1285" s="276"/>
      <c r="Z1285" s="276"/>
      <c r="AB1285" s="278" t="str">
        <f t="shared" si="185"/>
        <v/>
      </c>
    </row>
    <row r="1286" spans="1:28" s="277" customFormat="1" ht="20.25">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83"/>
        <v/>
      </c>
      <c r="T1286" s="225" t="str">
        <f ca="1">IF(B1286="","",IF(ISERROR(MATCH($J1286,SorP!$B$1:$B$6230,0)),"",INDIRECT("'SorP'!$A$"&amp;MATCH($J1286,SorP!$B$1:$B$6230,0))))</f>
        <v/>
      </c>
      <c r="U1286" s="241"/>
      <c r="V1286" s="275" t="e">
        <f>IF(C1286="",NA(),MATCH($B1286&amp;$C1286,'Smelter Look-up'!$J:$J,0))</f>
        <v>#N/A</v>
      </c>
      <c r="W1286" s="276"/>
      <c r="X1286" s="276">
        <f t="shared" ca="1" si="184"/>
        <v>0</v>
      </c>
      <c r="Y1286" s="276"/>
      <c r="Z1286" s="276"/>
      <c r="AB1286" s="278" t="str">
        <f t="shared" si="185"/>
        <v/>
      </c>
    </row>
    <row r="1287" spans="1:28" s="277" customFormat="1" ht="20.25">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83"/>
        <v/>
      </c>
      <c r="T1287" s="225" t="str">
        <f ca="1">IF(B1287="","",IF(ISERROR(MATCH($J1287,SorP!$B$1:$B$6230,0)),"",INDIRECT("'SorP'!$A$"&amp;MATCH($J1287,SorP!$B$1:$B$6230,0))))</f>
        <v/>
      </c>
      <c r="U1287" s="241"/>
      <c r="V1287" s="275" t="e">
        <f>IF(C1287="",NA(),MATCH($B1287&amp;$C1287,'Smelter Look-up'!$J:$J,0))</f>
        <v>#N/A</v>
      </c>
      <c r="W1287" s="276"/>
      <c r="X1287" s="276">
        <f t="shared" ca="1" si="184"/>
        <v>0</v>
      </c>
      <c r="Y1287" s="276"/>
      <c r="Z1287" s="276"/>
      <c r="AB1287" s="278" t="str">
        <f t="shared" si="185"/>
        <v/>
      </c>
    </row>
    <row r="1288" spans="1:28" s="277" customFormat="1" ht="20.25">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83"/>
        <v/>
      </c>
      <c r="T1288" s="225" t="str">
        <f ca="1">IF(B1288="","",IF(ISERROR(MATCH($J1288,SorP!$B$1:$B$6230,0)),"",INDIRECT("'SorP'!$A$"&amp;MATCH($J1288,SorP!$B$1:$B$6230,0))))</f>
        <v/>
      </c>
      <c r="U1288" s="241"/>
      <c r="V1288" s="275" t="e">
        <f>IF(C1288="",NA(),MATCH($B1288&amp;$C1288,'Smelter Look-up'!$J:$J,0))</f>
        <v>#N/A</v>
      </c>
      <c r="W1288" s="276"/>
      <c r="X1288" s="276">
        <f t="shared" ca="1" si="184"/>
        <v>0</v>
      </c>
      <c r="Y1288" s="276"/>
      <c r="Z1288" s="276"/>
      <c r="AB1288" s="278" t="str">
        <f t="shared" si="185"/>
        <v/>
      </c>
    </row>
    <row r="1289" spans="1:28" s="277" customFormat="1" ht="20.25">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83"/>
        <v/>
      </c>
      <c r="T1289" s="225" t="str">
        <f ca="1">IF(B1289="","",IF(ISERROR(MATCH($J1289,SorP!$B$1:$B$6230,0)),"",INDIRECT("'SorP'!$A$"&amp;MATCH($J1289,SorP!$B$1:$B$6230,0))))</f>
        <v/>
      </c>
      <c r="U1289" s="241"/>
      <c r="V1289" s="275" t="e">
        <f>IF(C1289="",NA(),MATCH($B1289&amp;$C1289,'Smelter Look-up'!$J:$J,0))</f>
        <v>#N/A</v>
      </c>
      <c r="W1289" s="276"/>
      <c r="X1289" s="276">
        <f t="shared" ca="1" si="184"/>
        <v>0</v>
      </c>
      <c r="Y1289" s="276"/>
      <c r="Z1289" s="276"/>
      <c r="AB1289" s="278" t="str">
        <f t="shared" si="185"/>
        <v/>
      </c>
    </row>
    <row r="1290" spans="1:28" s="277" customFormat="1" ht="20.25">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83"/>
        <v/>
      </c>
      <c r="T1290" s="225" t="str">
        <f ca="1">IF(B1290="","",IF(ISERROR(MATCH($J1290,SorP!$B$1:$B$6230,0)),"",INDIRECT("'SorP'!$A$"&amp;MATCH($J1290,SorP!$B$1:$B$6230,0))))</f>
        <v/>
      </c>
      <c r="U1290" s="241"/>
      <c r="V1290" s="275" t="e">
        <f>IF(C1290="",NA(),MATCH($B1290&amp;$C1290,'Smelter Look-up'!$J:$J,0))</f>
        <v>#N/A</v>
      </c>
      <c r="W1290" s="276"/>
      <c r="X1290" s="276">
        <f t="shared" ca="1" si="184"/>
        <v>0</v>
      </c>
      <c r="Y1290" s="276"/>
      <c r="Z1290" s="276"/>
      <c r="AB1290" s="278" t="str">
        <f t="shared" si="185"/>
        <v/>
      </c>
    </row>
    <row r="1291" spans="1:28" s="277" customFormat="1" ht="20.25">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83"/>
        <v/>
      </c>
      <c r="T1291" s="225" t="str">
        <f ca="1">IF(B1291="","",IF(ISERROR(MATCH($J1291,SorP!$B$1:$B$6230,0)),"",INDIRECT("'SorP'!$A$"&amp;MATCH($J1291,SorP!$B$1:$B$6230,0))))</f>
        <v/>
      </c>
      <c r="U1291" s="241"/>
      <c r="V1291" s="275" t="e">
        <f>IF(C1291="",NA(),MATCH($B1291&amp;$C1291,'Smelter Look-up'!$J:$J,0))</f>
        <v>#N/A</v>
      </c>
      <c r="W1291" s="276"/>
      <c r="X1291" s="276">
        <f t="shared" ca="1" si="184"/>
        <v>0</v>
      </c>
      <c r="Y1291" s="276"/>
      <c r="Z1291" s="276"/>
      <c r="AB1291" s="278" t="str">
        <f t="shared" si="185"/>
        <v/>
      </c>
    </row>
    <row r="1292" spans="1:28" s="277" customFormat="1" ht="20.25">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83"/>
        <v/>
      </c>
      <c r="T1292" s="225" t="str">
        <f ca="1">IF(B1292="","",IF(ISERROR(MATCH($J1292,SorP!$B$1:$B$6230,0)),"",INDIRECT("'SorP'!$A$"&amp;MATCH($J1292,SorP!$B$1:$B$6230,0))))</f>
        <v/>
      </c>
      <c r="U1292" s="241"/>
      <c r="V1292" s="275" t="e">
        <f>IF(C1292="",NA(),MATCH($B1292&amp;$C1292,'Smelter Look-up'!$J:$J,0))</f>
        <v>#N/A</v>
      </c>
      <c r="W1292" s="276"/>
      <c r="X1292" s="276">
        <f t="shared" ca="1" si="184"/>
        <v>0</v>
      </c>
      <c r="Y1292" s="276"/>
      <c r="Z1292" s="276"/>
      <c r="AB1292" s="278" t="str">
        <f t="shared" si="185"/>
        <v/>
      </c>
    </row>
    <row r="1293" spans="1:28" s="277" customFormat="1" ht="20.25">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83"/>
        <v/>
      </c>
      <c r="T1293" s="225" t="str">
        <f ca="1">IF(B1293="","",IF(ISERROR(MATCH($J1293,SorP!$B$1:$B$6230,0)),"",INDIRECT("'SorP'!$A$"&amp;MATCH($J1293,SorP!$B$1:$B$6230,0))))</f>
        <v/>
      </c>
      <c r="U1293" s="241"/>
      <c r="V1293" s="275" t="e">
        <f>IF(C1293="",NA(),MATCH($B1293&amp;$C1293,'Smelter Look-up'!$J:$J,0))</f>
        <v>#N/A</v>
      </c>
      <c r="W1293" s="276"/>
      <c r="X1293" s="276">
        <f t="shared" ca="1" si="184"/>
        <v>0</v>
      </c>
      <c r="Y1293" s="276"/>
      <c r="Z1293" s="276"/>
      <c r="AB1293" s="278" t="str">
        <f t="shared" si="185"/>
        <v/>
      </c>
    </row>
    <row r="1294" spans="1:28" s="277" customFormat="1" ht="20.25">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83"/>
        <v/>
      </c>
      <c r="T1294" s="225" t="str">
        <f ca="1">IF(B1294="","",IF(ISERROR(MATCH($J1294,SorP!$B$1:$B$6230,0)),"",INDIRECT("'SorP'!$A$"&amp;MATCH($J1294,SorP!$B$1:$B$6230,0))))</f>
        <v/>
      </c>
      <c r="U1294" s="241"/>
      <c r="V1294" s="275" t="e">
        <f>IF(C1294="",NA(),MATCH($B1294&amp;$C1294,'Smelter Look-up'!$J:$J,0))</f>
        <v>#N/A</v>
      </c>
      <c r="W1294" s="276"/>
      <c r="X1294" s="276">
        <f t="shared" ca="1" si="184"/>
        <v>0</v>
      </c>
      <c r="Y1294" s="276"/>
      <c r="Z1294" s="276"/>
      <c r="AB1294" s="278" t="str">
        <f t="shared" si="185"/>
        <v/>
      </c>
    </row>
    <row r="1295" spans="1:28" s="277" customFormat="1" ht="20.25">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83"/>
        <v/>
      </c>
      <c r="T1295" s="225" t="str">
        <f ca="1">IF(B1295="","",IF(ISERROR(MATCH($J1295,SorP!$B$1:$B$6230,0)),"",INDIRECT("'SorP'!$A$"&amp;MATCH($J1295,SorP!$B$1:$B$6230,0))))</f>
        <v/>
      </c>
      <c r="U1295" s="241"/>
      <c r="V1295" s="275" t="e">
        <f>IF(C1295="",NA(),MATCH($B1295&amp;$C1295,'Smelter Look-up'!$J:$J,0))</f>
        <v>#N/A</v>
      </c>
      <c r="W1295" s="276"/>
      <c r="X1295" s="276">
        <f t="shared" ca="1" si="184"/>
        <v>0</v>
      </c>
      <c r="Y1295" s="276"/>
      <c r="Z1295" s="276"/>
      <c r="AB1295" s="278" t="str">
        <f t="shared" si="185"/>
        <v/>
      </c>
    </row>
    <row r="1296" spans="1:28" s="277" customFormat="1" ht="20.25">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183"/>
        <v/>
      </c>
      <c r="T1296" s="225" t="str">
        <f ca="1">IF(B1296="","",IF(ISERROR(MATCH($J1296,SorP!$B$1:$B$6230,0)),"",INDIRECT("'SorP'!$A$"&amp;MATCH($J1296,SorP!$B$1:$B$6230,0))))</f>
        <v/>
      </c>
      <c r="U1296" s="241"/>
      <c r="V1296" s="275" t="e">
        <f>IF(C1296="",NA(),MATCH($B1296&amp;$C1296,'Smelter Look-up'!$J:$J,0))</f>
        <v>#N/A</v>
      </c>
      <c r="W1296" s="276"/>
      <c r="X1296" s="276">
        <f t="shared" ca="1" si="184"/>
        <v>0</v>
      </c>
      <c r="Y1296" s="276"/>
      <c r="Z1296" s="276"/>
      <c r="AB1296" s="278" t="str">
        <f t="shared" si="185"/>
        <v/>
      </c>
    </row>
    <row r="1297" spans="1:28" s="277" customFormat="1" ht="20.25">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83"/>
        <v/>
      </c>
      <c r="T1297" s="225" t="str">
        <f ca="1">IF(B1297="","",IF(ISERROR(MATCH($J1297,SorP!$B$1:$B$6230,0)),"",INDIRECT("'SorP'!$A$"&amp;MATCH($J1297,SorP!$B$1:$B$6230,0))))</f>
        <v/>
      </c>
      <c r="U1297" s="241"/>
      <c r="V1297" s="275" t="e">
        <f>IF(C1297="",NA(),MATCH($B1297&amp;$C1297,'Smelter Look-up'!$J:$J,0))</f>
        <v>#N/A</v>
      </c>
      <c r="W1297" s="276"/>
      <c r="X1297" s="276">
        <f t="shared" ca="1" si="184"/>
        <v>0</v>
      </c>
      <c r="Y1297" s="276"/>
      <c r="Z1297" s="276"/>
      <c r="AB1297" s="278" t="str">
        <f t="shared" si="185"/>
        <v/>
      </c>
    </row>
    <row r="1298" spans="1:28" s="277" customFormat="1" ht="20.25">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183"/>
        <v/>
      </c>
      <c r="T1298" s="225" t="str">
        <f ca="1">IF(B1298="","",IF(ISERROR(MATCH($J1298,SorP!$B$1:$B$6230,0)),"",INDIRECT("'SorP'!$A$"&amp;MATCH($J1298,SorP!$B$1:$B$6230,0))))</f>
        <v/>
      </c>
      <c r="U1298" s="241"/>
      <c r="V1298" s="275" t="e">
        <f>IF(C1298="",NA(),MATCH($B1298&amp;$C1298,'Smelter Look-up'!$J:$J,0))</f>
        <v>#N/A</v>
      </c>
      <c r="W1298" s="276"/>
      <c r="X1298" s="276">
        <f t="shared" ca="1" si="184"/>
        <v>0</v>
      </c>
      <c r="Y1298" s="276"/>
      <c r="Z1298" s="276"/>
      <c r="AB1298" s="278" t="str">
        <f t="shared" si="185"/>
        <v/>
      </c>
    </row>
    <row r="1299" spans="1:28" s="277" customFormat="1" ht="20.25">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83"/>
        <v/>
      </c>
      <c r="T1299" s="225" t="str">
        <f ca="1">IF(B1299="","",IF(ISERROR(MATCH($J1299,SorP!$B$1:$B$6230,0)),"",INDIRECT("'SorP'!$A$"&amp;MATCH($J1299,SorP!$B$1:$B$6230,0))))</f>
        <v/>
      </c>
      <c r="U1299" s="241"/>
      <c r="V1299" s="275" t="e">
        <f>IF(C1299="",NA(),MATCH($B1299&amp;$C1299,'Smelter Look-up'!$J:$J,0))</f>
        <v>#N/A</v>
      </c>
      <c r="W1299" s="276"/>
      <c r="X1299" s="276">
        <f t="shared" ca="1" si="184"/>
        <v>0</v>
      </c>
      <c r="Y1299" s="276"/>
      <c r="Z1299" s="276"/>
      <c r="AB1299" s="278" t="str">
        <f t="shared" si="185"/>
        <v/>
      </c>
    </row>
    <row r="1300" spans="1:28" s="277" customFormat="1" ht="20.25">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83"/>
        <v/>
      </c>
      <c r="T1300" s="225" t="str">
        <f ca="1">IF(B1300="","",IF(ISERROR(MATCH($J1300,SorP!$B$1:$B$6230,0)),"",INDIRECT("'SorP'!$A$"&amp;MATCH($J1300,SorP!$B$1:$B$6230,0))))</f>
        <v/>
      </c>
      <c r="U1300" s="241"/>
      <c r="V1300" s="275" t="e">
        <f>IF(C1300="",NA(),MATCH($B1300&amp;$C1300,'Smelter Look-up'!$J:$J,0))</f>
        <v>#N/A</v>
      </c>
      <c r="W1300" s="276"/>
      <c r="X1300" s="276">
        <f t="shared" ca="1" si="184"/>
        <v>0</v>
      </c>
      <c r="Y1300" s="276"/>
      <c r="Z1300" s="276"/>
      <c r="AB1300" s="278" t="str">
        <f t="shared" si="185"/>
        <v/>
      </c>
    </row>
    <row r="1301" spans="1:28" s="277" customFormat="1" ht="20.25">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83"/>
        <v/>
      </c>
      <c r="T1301" s="225" t="str">
        <f ca="1">IF(B1301="","",IF(ISERROR(MATCH($J1301,SorP!$B$1:$B$6230,0)),"",INDIRECT("'SorP'!$A$"&amp;MATCH($J1301,SorP!$B$1:$B$6230,0))))</f>
        <v/>
      </c>
      <c r="U1301" s="241"/>
      <c r="V1301" s="275" t="e">
        <f>IF(C1301="",NA(),MATCH($B1301&amp;$C1301,'Smelter Look-up'!$J:$J,0))</f>
        <v>#N/A</v>
      </c>
      <c r="W1301" s="276"/>
      <c r="X1301" s="276">
        <f t="shared" ca="1" si="184"/>
        <v>0</v>
      </c>
      <c r="Y1301" s="276"/>
      <c r="Z1301" s="276"/>
      <c r="AB1301" s="278" t="str">
        <f t="shared" si="185"/>
        <v/>
      </c>
    </row>
    <row r="1302" spans="1:28" s="277" customFormat="1" ht="20.25">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83"/>
        <v/>
      </c>
      <c r="T1302" s="225" t="str">
        <f ca="1">IF(B1302="","",IF(ISERROR(MATCH($J1302,SorP!$B$1:$B$6230,0)),"",INDIRECT("'SorP'!$A$"&amp;MATCH($J1302,SorP!$B$1:$B$6230,0))))</f>
        <v/>
      </c>
      <c r="U1302" s="241"/>
      <c r="V1302" s="275" t="e">
        <f>IF(C1302="",NA(),MATCH($B1302&amp;$C1302,'Smelter Look-up'!$J:$J,0))</f>
        <v>#N/A</v>
      </c>
      <c r="W1302" s="276"/>
      <c r="X1302" s="276">
        <f t="shared" ca="1" si="184"/>
        <v>0</v>
      </c>
      <c r="Y1302" s="276"/>
      <c r="Z1302" s="276"/>
      <c r="AB1302" s="278" t="str">
        <f t="shared" si="185"/>
        <v/>
      </c>
    </row>
    <row r="1303" spans="1:28" s="277" customFormat="1" ht="20.25">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83"/>
        <v/>
      </c>
      <c r="T1303" s="225" t="str">
        <f ca="1">IF(B1303="","",IF(ISERROR(MATCH($J1303,SorP!$B$1:$B$6230,0)),"",INDIRECT("'SorP'!$A$"&amp;MATCH($J1303,SorP!$B$1:$B$6230,0))))</f>
        <v/>
      </c>
      <c r="U1303" s="241"/>
      <c r="V1303" s="275" t="e">
        <f>IF(C1303="",NA(),MATCH($B1303&amp;$C1303,'Smelter Look-up'!$J:$J,0))</f>
        <v>#N/A</v>
      </c>
      <c r="W1303" s="276"/>
      <c r="X1303" s="276">
        <f t="shared" ca="1" si="184"/>
        <v>0</v>
      </c>
      <c r="Y1303" s="276"/>
      <c r="Z1303" s="276"/>
      <c r="AB1303" s="278" t="str">
        <f t="shared" si="185"/>
        <v/>
      </c>
    </row>
    <row r="1304" spans="1:28" s="277" customFormat="1" ht="20.25">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83"/>
        <v/>
      </c>
      <c r="T1304" s="225" t="str">
        <f ca="1">IF(B1304="","",IF(ISERROR(MATCH($J1304,SorP!$B$1:$B$6230,0)),"",INDIRECT("'SorP'!$A$"&amp;MATCH($J1304,SorP!$B$1:$B$6230,0))))</f>
        <v/>
      </c>
      <c r="U1304" s="241"/>
      <c r="V1304" s="275" t="e">
        <f>IF(C1304="",NA(),MATCH($B1304&amp;$C1304,'Smelter Look-up'!$J:$J,0))</f>
        <v>#N/A</v>
      </c>
      <c r="W1304" s="276"/>
      <c r="X1304" s="276">
        <f t="shared" ca="1" si="184"/>
        <v>0</v>
      </c>
      <c r="Y1304" s="276"/>
      <c r="Z1304" s="276"/>
      <c r="AB1304" s="278" t="str">
        <f t="shared" si="185"/>
        <v/>
      </c>
    </row>
    <row r="1305" spans="1:28" s="277" customFormat="1" ht="20.25">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83"/>
        <v/>
      </c>
      <c r="T1305" s="225" t="str">
        <f ca="1">IF(B1305="","",IF(ISERROR(MATCH($J1305,SorP!$B$1:$B$6230,0)),"",INDIRECT("'SorP'!$A$"&amp;MATCH($J1305,SorP!$B$1:$B$6230,0))))</f>
        <v/>
      </c>
      <c r="U1305" s="241"/>
      <c r="V1305" s="275" t="e">
        <f>IF(C1305="",NA(),MATCH($B1305&amp;$C1305,'Smelter Look-up'!$J:$J,0))</f>
        <v>#N/A</v>
      </c>
      <c r="W1305" s="276"/>
      <c r="X1305" s="276">
        <f t="shared" ca="1" si="184"/>
        <v>0</v>
      </c>
      <c r="Y1305" s="276"/>
      <c r="Z1305" s="276"/>
      <c r="AB1305" s="278" t="str">
        <f t="shared" si="185"/>
        <v/>
      </c>
    </row>
    <row r="1306" spans="1:28" s="277" customFormat="1" ht="20.25">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83"/>
        <v/>
      </c>
      <c r="T1306" s="225" t="str">
        <f ca="1">IF(B1306="","",IF(ISERROR(MATCH($J1306,SorP!$B$1:$B$6230,0)),"",INDIRECT("'SorP'!$A$"&amp;MATCH($J1306,SorP!$B$1:$B$6230,0))))</f>
        <v/>
      </c>
      <c r="U1306" s="241"/>
      <c r="V1306" s="275" t="e">
        <f>IF(C1306="",NA(),MATCH($B1306&amp;$C1306,'Smelter Look-up'!$J:$J,0))</f>
        <v>#N/A</v>
      </c>
      <c r="W1306" s="276"/>
      <c r="X1306" s="276">
        <f t="shared" ca="1" si="184"/>
        <v>0</v>
      </c>
      <c r="Y1306" s="276"/>
      <c r="Z1306" s="276"/>
      <c r="AB1306" s="278" t="str">
        <f t="shared" si="185"/>
        <v/>
      </c>
    </row>
    <row r="1307" spans="1:28" s="277" customFormat="1" ht="20.25">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183"/>
        <v/>
      </c>
      <c r="T1307" s="225" t="str">
        <f ca="1">IF(B1307="","",IF(ISERROR(MATCH($J1307,SorP!$B$1:$B$6230,0)),"",INDIRECT("'SorP'!$A$"&amp;MATCH($J1307,SorP!$B$1:$B$6230,0))))</f>
        <v/>
      </c>
      <c r="U1307" s="241"/>
      <c r="V1307" s="275" t="e">
        <f>IF(C1307="",NA(),MATCH($B1307&amp;$C1307,'Smelter Look-up'!$J:$J,0))</f>
        <v>#N/A</v>
      </c>
      <c r="W1307" s="276"/>
      <c r="X1307" s="276">
        <f t="shared" ca="1" si="184"/>
        <v>0</v>
      </c>
      <c r="Y1307" s="276"/>
      <c r="Z1307" s="276"/>
      <c r="AB1307" s="278" t="str">
        <f t="shared" si="185"/>
        <v/>
      </c>
    </row>
    <row r="1308" spans="1:28" s="277" customFormat="1" ht="20.25">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ref="S1308:S1338" ca="1" si="186">IF(B1308="","",IF(ISERROR(MATCH($E1308,CL,0)),"Unknown",INDIRECT("'C'!$A$"&amp;MATCH($E1308,CL,0)+1)))</f>
        <v/>
      </c>
      <c r="T1308" s="225" t="str">
        <f ca="1">IF(B1308="","",IF(ISERROR(MATCH($J1308,SorP!$B$1:$B$6230,0)),"",INDIRECT("'SorP'!$A$"&amp;MATCH($J1308,SorP!$B$1:$B$6230,0))))</f>
        <v/>
      </c>
      <c r="U1308" s="241"/>
      <c r="V1308" s="275" t="e">
        <f>IF(C1308="",NA(),MATCH($B1308&amp;$C1308,'Smelter Look-up'!$J:$J,0))</f>
        <v>#N/A</v>
      </c>
      <c r="W1308" s="276"/>
      <c r="X1308" s="276">
        <f t="shared" ref="X1308:X1338" ca="1" si="187">IF(AND(C1308="Smelter not listed",OR(LEN(D1308)=0,LEN(E1308)=0)),1,0)</f>
        <v>0</v>
      </c>
      <c r="Y1308" s="276"/>
      <c r="Z1308" s="276"/>
      <c r="AB1308" s="278" t="str">
        <f t="shared" ref="AB1308:AB1338" si="188">B1308&amp;C1308</f>
        <v/>
      </c>
    </row>
    <row r="1309" spans="1:28" s="277" customFormat="1" ht="20.25">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86"/>
        <v/>
      </c>
      <c r="T1309" s="225" t="str">
        <f ca="1">IF(B1309="","",IF(ISERROR(MATCH($J1309,SorP!$B$1:$B$6230,0)),"",INDIRECT("'SorP'!$A$"&amp;MATCH($J1309,SorP!$B$1:$B$6230,0))))</f>
        <v/>
      </c>
      <c r="U1309" s="241"/>
      <c r="V1309" s="275" t="e">
        <f>IF(C1309="",NA(),MATCH($B1309&amp;$C1309,'Smelter Look-up'!$J:$J,0))</f>
        <v>#N/A</v>
      </c>
      <c r="W1309" s="276"/>
      <c r="X1309" s="276">
        <f t="shared" ca="1" si="187"/>
        <v>0</v>
      </c>
      <c r="Y1309" s="276"/>
      <c r="Z1309" s="276"/>
      <c r="AB1309" s="278" t="str">
        <f t="shared" si="188"/>
        <v/>
      </c>
    </row>
    <row r="1310" spans="1:28" s="277" customFormat="1" ht="20.25">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86"/>
        <v/>
      </c>
      <c r="T1310" s="225" t="str">
        <f ca="1">IF(B1310="","",IF(ISERROR(MATCH($J1310,SorP!$B$1:$B$6230,0)),"",INDIRECT("'SorP'!$A$"&amp;MATCH($J1310,SorP!$B$1:$B$6230,0))))</f>
        <v/>
      </c>
      <c r="U1310" s="241"/>
      <c r="V1310" s="275" t="e">
        <f>IF(C1310="",NA(),MATCH($B1310&amp;$C1310,'Smelter Look-up'!$J:$J,0))</f>
        <v>#N/A</v>
      </c>
      <c r="W1310" s="276"/>
      <c r="X1310" s="276">
        <f t="shared" ca="1" si="187"/>
        <v>0</v>
      </c>
      <c r="Y1310" s="276"/>
      <c r="Z1310" s="276"/>
      <c r="AB1310" s="278" t="str">
        <f t="shared" si="188"/>
        <v/>
      </c>
    </row>
    <row r="1311" spans="1:28" s="277" customFormat="1" ht="20.25">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86"/>
        <v/>
      </c>
      <c r="T1311" s="225" t="str">
        <f ca="1">IF(B1311="","",IF(ISERROR(MATCH($J1311,SorP!$B$1:$B$6230,0)),"",INDIRECT("'SorP'!$A$"&amp;MATCH($J1311,SorP!$B$1:$B$6230,0))))</f>
        <v/>
      </c>
      <c r="U1311" s="241"/>
      <c r="V1311" s="275" t="e">
        <f>IF(C1311="",NA(),MATCH($B1311&amp;$C1311,'Smelter Look-up'!$J:$J,0))</f>
        <v>#N/A</v>
      </c>
      <c r="W1311" s="276"/>
      <c r="X1311" s="276">
        <f t="shared" ca="1" si="187"/>
        <v>0</v>
      </c>
      <c r="Y1311" s="276"/>
      <c r="Z1311" s="276"/>
      <c r="AB1311" s="278" t="str">
        <f t="shared" si="188"/>
        <v/>
      </c>
    </row>
    <row r="1312" spans="1:28" s="277" customFormat="1" ht="20.25">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86"/>
        <v/>
      </c>
      <c r="T1312" s="225" t="str">
        <f ca="1">IF(B1312="","",IF(ISERROR(MATCH($J1312,SorP!$B$1:$B$6230,0)),"",INDIRECT("'SorP'!$A$"&amp;MATCH($J1312,SorP!$B$1:$B$6230,0))))</f>
        <v/>
      </c>
      <c r="U1312" s="241"/>
      <c r="V1312" s="275" t="e">
        <f>IF(C1312="",NA(),MATCH($B1312&amp;$C1312,'Smelter Look-up'!$J:$J,0))</f>
        <v>#N/A</v>
      </c>
      <c r="W1312" s="276"/>
      <c r="X1312" s="276">
        <f t="shared" ca="1" si="187"/>
        <v>0</v>
      </c>
      <c r="Y1312" s="276"/>
      <c r="Z1312" s="276"/>
      <c r="AB1312" s="278" t="str">
        <f t="shared" si="188"/>
        <v/>
      </c>
    </row>
    <row r="1313" spans="1:28" s="277" customFormat="1" ht="20.25">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86"/>
        <v/>
      </c>
      <c r="T1313" s="225" t="str">
        <f ca="1">IF(B1313="","",IF(ISERROR(MATCH($J1313,SorP!$B$1:$B$6230,0)),"",INDIRECT("'SorP'!$A$"&amp;MATCH($J1313,SorP!$B$1:$B$6230,0))))</f>
        <v/>
      </c>
      <c r="U1313" s="241"/>
      <c r="V1313" s="275" t="e">
        <f>IF(C1313="",NA(),MATCH($B1313&amp;$C1313,'Smelter Look-up'!$J:$J,0))</f>
        <v>#N/A</v>
      </c>
      <c r="W1313" s="276"/>
      <c r="X1313" s="276">
        <f t="shared" ca="1" si="187"/>
        <v>0</v>
      </c>
      <c r="Y1313" s="276"/>
      <c r="Z1313" s="276"/>
      <c r="AB1313" s="278" t="str">
        <f t="shared" si="188"/>
        <v/>
      </c>
    </row>
    <row r="1314" spans="1:28" s="277" customFormat="1" ht="20.25">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86"/>
        <v/>
      </c>
      <c r="T1314" s="225" t="str">
        <f ca="1">IF(B1314="","",IF(ISERROR(MATCH($J1314,SorP!$B$1:$B$6230,0)),"",INDIRECT("'SorP'!$A$"&amp;MATCH($J1314,SorP!$B$1:$B$6230,0))))</f>
        <v/>
      </c>
      <c r="U1314" s="241"/>
      <c r="V1314" s="275" t="e">
        <f>IF(C1314="",NA(),MATCH($B1314&amp;$C1314,'Smelter Look-up'!$J:$J,0))</f>
        <v>#N/A</v>
      </c>
      <c r="W1314" s="276"/>
      <c r="X1314" s="276">
        <f t="shared" ca="1" si="187"/>
        <v>0</v>
      </c>
      <c r="Y1314" s="276"/>
      <c r="Z1314" s="276"/>
      <c r="AB1314" s="278" t="str">
        <f t="shared" si="188"/>
        <v/>
      </c>
    </row>
    <row r="1315" spans="1:28" s="277" customFormat="1" ht="20.25">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86"/>
        <v/>
      </c>
      <c r="T1315" s="225" t="str">
        <f ca="1">IF(B1315="","",IF(ISERROR(MATCH($J1315,SorP!$B$1:$B$6230,0)),"",INDIRECT("'SorP'!$A$"&amp;MATCH($J1315,SorP!$B$1:$B$6230,0))))</f>
        <v/>
      </c>
      <c r="U1315" s="241"/>
      <c r="V1315" s="275" t="e">
        <f>IF(C1315="",NA(),MATCH($B1315&amp;$C1315,'Smelter Look-up'!$J:$J,0))</f>
        <v>#N/A</v>
      </c>
      <c r="W1315" s="276"/>
      <c r="X1315" s="276">
        <f t="shared" ca="1" si="187"/>
        <v>0</v>
      </c>
      <c r="Y1315" s="276"/>
      <c r="Z1315" s="276"/>
      <c r="AB1315" s="278" t="str">
        <f t="shared" si="188"/>
        <v/>
      </c>
    </row>
    <row r="1316" spans="1:28" s="277" customFormat="1" ht="20.25">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86"/>
        <v/>
      </c>
      <c r="T1316" s="225" t="str">
        <f ca="1">IF(B1316="","",IF(ISERROR(MATCH($J1316,SorP!$B$1:$B$6230,0)),"",INDIRECT("'SorP'!$A$"&amp;MATCH($J1316,SorP!$B$1:$B$6230,0))))</f>
        <v/>
      </c>
      <c r="U1316" s="241"/>
      <c r="V1316" s="275" t="e">
        <f>IF(C1316="",NA(),MATCH($B1316&amp;$C1316,'Smelter Look-up'!$J:$J,0))</f>
        <v>#N/A</v>
      </c>
      <c r="W1316" s="276"/>
      <c r="X1316" s="276">
        <f t="shared" ca="1" si="187"/>
        <v>0</v>
      </c>
      <c r="Y1316" s="276"/>
      <c r="Z1316" s="276"/>
      <c r="AB1316" s="278" t="str">
        <f t="shared" si="188"/>
        <v/>
      </c>
    </row>
    <row r="1317" spans="1:28" s="277" customFormat="1" ht="20.25">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86"/>
        <v/>
      </c>
      <c r="T1317" s="225" t="str">
        <f ca="1">IF(B1317="","",IF(ISERROR(MATCH($J1317,SorP!$B$1:$B$6230,0)),"",INDIRECT("'SorP'!$A$"&amp;MATCH($J1317,SorP!$B$1:$B$6230,0))))</f>
        <v/>
      </c>
      <c r="U1317" s="241"/>
      <c r="V1317" s="275" t="e">
        <f>IF(C1317="",NA(),MATCH($B1317&amp;$C1317,'Smelter Look-up'!$J:$J,0))</f>
        <v>#N/A</v>
      </c>
      <c r="W1317" s="276"/>
      <c r="X1317" s="276">
        <f t="shared" ca="1" si="187"/>
        <v>0</v>
      </c>
      <c r="Y1317" s="276"/>
      <c r="Z1317" s="276"/>
      <c r="AB1317" s="278" t="str">
        <f t="shared" si="188"/>
        <v/>
      </c>
    </row>
    <row r="1318" spans="1:28" s="277" customFormat="1" ht="20.25">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86"/>
        <v/>
      </c>
      <c r="T1318" s="225" t="str">
        <f ca="1">IF(B1318="","",IF(ISERROR(MATCH($J1318,SorP!$B$1:$B$6230,0)),"",INDIRECT("'SorP'!$A$"&amp;MATCH($J1318,SorP!$B$1:$B$6230,0))))</f>
        <v/>
      </c>
      <c r="U1318" s="241"/>
      <c r="V1318" s="275" t="e">
        <f>IF(C1318="",NA(),MATCH($B1318&amp;$C1318,'Smelter Look-up'!$J:$J,0))</f>
        <v>#N/A</v>
      </c>
      <c r="W1318" s="276"/>
      <c r="X1318" s="276">
        <f t="shared" ca="1" si="187"/>
        <v>0</v>
      </c>
      <c r="Y1318" s="276"/>
      <c r="Z1318" s="276"/>
      <c r="AB1318" s="278" t="str">
        <f t="shared" si="188"/>
        <v/>
      </c>
    </row>
    <row r="1319" spans="1:28" s="277" customFormat="1" ht="20.25">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86"/>
        <v/>
      </c>
      <c r="T1319" s="225" t="str">
        <f ca="1">IF(B1319="","",IF(ISERROR(MATCH($J1319,SorP!$B$1:$B$6230,0)),"",INDIRECT("'SorP'!$A$"&amp;MATCH($J1319,SorP!$B$1:$B$6230,0))))</f>
        <v/>
      </c>
      <c r="U1319" s="241"/>
      <c r="V1319" s="275" t="e">
        <f>IF(C1319="",NA(),MATCH($B1319&amp;$C1319,'Smelter Look-up'!$J:$J,0))</f>
        <v>#N/A</v>
      </c>
      <c r="W1319" s="276"/>
      <c r="X1319" s="276">
        <f t="shared" ca="1" si="187"/>
        <v>0</v>
      </c>
      <c r="Y1319" s="276"/>
      <c r="Z1319" s="276"/>
      <c r="AB1319" s="278" t="str">
        <f t="shared" si="188"/>
        <v/>
      </c>
    </row>
    <row r="1320" spans="1:28" s="277" customFormat="1" ht="20.25">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86"/>
        <v/>
      </c>
      <c r="T1320" s="225" t="str">
        <f ca="1">IF(B1320="","",IF(ISERROR(MATCH($J1320,SorP!$B$1:$B$6230,0)),"",INDIRECT("'SorP'!$A$"&amp;MATCH($J1320,SorP!$B$1:$B$6230,0))))</f>
        <v/>
      </c>
      <c r="U1320" s="241"/>
      <c r="V1320" s="275" t="e">
        <f>IF(C1320="",NA(),MATCH($B1320&amp;$C1320,'Smelter Look-up'!$J:$J,0))</f>
        <v>#N/A</v>
      </c>
      <c r="W1320" s="276"/>
      <c r="X1320" s="276">
        <f t="shared" ca="1" si="187"/>
        <v>0</v>
      </c>
      <c r="Y1320" s="276"/>
      <c r="Z1320" s="276"/>
      <c r="AB1320" s="278" t="str">
        <f t="shared" si="188"/>
        <v/>
      </c>
    </row>
    <row r="1321" spans="1:28" s="277" customFormat="1" ht="20.25">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86"/>
        <v/>
      </c>
      <c r="T1321" s="225" t="str">
        <f ca="1">IF(B1321="","",IF(ISERROR(MATCH($J1321,SorP!$B$1:$B$6230,0)),"",INDIRECT("'SorP'!$A$"&amp;MATCH($J1321,SorP!$B$1:$B$6230,0))))</f>
        <v/>
      </c>
      <c r="U1321" s="241"/>
      <c r="V1321" s="275" t="e">
        <f>IF(C1321="",NA(),MATCH($B1321&amp;$C1321,'Smelter Look-up'!$J:$J,0))</f>
        <v>#N/A</v>
      </c>
      <c r="W1321" s="276"/>
      <c r="X1321" s="276">
        <f t="shared" ca="1" si="187"/>
        <v>0</v>
      </c>
      <c r="Y1321" s="276"/>
      <c r="Z1321" s="276"/>
      <c r="AB1321" s="278" t="str">
        <f t="shared" si="188"/>
        <v/>
      </c>
    </row>
    <row r="1322" spans="1:28" s="277" customFormat="1" ht="20.25">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86"/>
        <v/>
      </c>
      <c r="T1322" s="225" t="str">
        <f ca="1">IF(B1322="","",IF(ISERROR(MATCH($J1322,SorP!$B$1:$B$6230,0)),"",INDIRECT("'SorP'!$A$"&amp;MATCH($J1322,SorP!$B$1:$B$6230,0))))</f>
        <v/>
      </c>
      <c r="U1322" s="241"/>
      <c r="V1322" s="275" t="e">
        <f>IF(C1322="",NA(),MATCH($B1322&amp;$C1322,'Smelter Look-up'!$J:$J,0))</f>
        <v>#N/A</v>
      </c>
      <c r="W1322" s="276"/>
      <c r="X1322" s="276">
        <f t="shared" ca="1" si="187"/>
        <v>0</v>
      </c>
      <c r="Y1322" s="276"/>
      <c r="Z1322" s="276"/>
      <c r="AB1322" s="278" t="str">
        <f t="shared" si="188"/>
        <v/>
      </c>
    </row>
    <row r="1323" spans="1:28" s="277" customFormat="1" ht="20.25">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86"/>
        <v/>
      </c>
      <c r="T1323" s="225" t="str">
        <f ca="1">IF(B1323="","",IF(ISERROR(MATCH($J1323,SorP!$B$1:$B$6230,0)),"",INDIRECT("'SorP'!$A$"&amp;MATCH($J1323,SorP!$B$1:$B$6230,0))))</f>
        <v/>
      </c>
      <c r="U1323" s="241"/>
      <c r="V1323" s="275" t="e">
        <f>IF(C1323="",NA(),MATCH($B1323&amp;$C1323,'Smelter Look-up'!$J:$J,0))</f>
        <v>#N/A</v>
      </c>
      <c r="W1323" s="276"/>
      <c r="X1323" s="276">
        <f t="shared" ca="1" si="187"/>
        <v>0</v>
      </c>
      <c r="Y1323" s="276"/>
      <c r="Z1323" s="276"/>
      <c r="AB1323" s="278" t="str">
        <f t="shared" si="188"/>
        <v/>
      </c>
    </row>
    <row r="1324" spans="1:28" s="277" customFormat="1" ht="20.25">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86"/>
        <v/>
      </c>
      <c r="T1324" s="225" t="str">
        <f ca="1">IF(B1324="","",IF(ISERROR(MATCH($J1324,SorP!$B$1:$B$6230,0)),"",INDIRECT("'SorP'!$A$"&amp;MATCH($J1324,SorP!$B$1:$B$6230,0))))</f>
        <v/>
      </c>
      <c r="U1324" s="241"/>
      <c r="V1324" s="275" t="e">
        <f>IF(C1324="",NA(),MATCH($B1324&amp;$C1324,'Smelter Look-up'!$J:$J,0))</f>
        <v>#N/A</v>
      </c>
      <c r="W1324" s="276"/>
      <c r="X1324" s="276">
        <f t="shared" ca="1" si="187"/>
        <v>0</v>
      </c>
      <c r="Y1324" s="276"/>
      <c r="Z1324" s="276"/>
      <c r="AB1324" s="278" t="str">
        <f t="shared" si="188"/>
        <v/>
      </c>
    </row>
    <row r="1325" spans="1:28" s="277" customFormat="1" ht="20.25">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86"/>
        <v/>
      </c>
      <c r="T1325" s="225" t="str">
        <f ca="1">IF(B1325="","",IF(ISERROR(MATCH($J1325,SorP!$B$1:$B$6230,0)),"",INDIRECT("'SorP'!$A$"&amp;MATCH($J1325,SorP!$B$1:$B$6230,0))))</f>
        <v/>
      </c>
      <c r="U1325" s="241"/>
      <c r="V1325" s="275" t="e">
        <f>IF(C1325="",NA(),MATCH($B1325&amp;$C1325,'Smelter Look-up'!$J:$J,0))</f>
        <v>#N/A</v>
      </c>
      <c r="W1325" s="276"/>
      <c r="X1325" s="276">
        <f t="shared" ca="1" si="187"/>
        <v>0</v>
      </c>
      <c r="Y1325" s="276"/>
      <c r="Z1325" s="276"/>
      <c r="AB1325" s="278" t="str">
        <f t="shared" si="188"/>
        <v/>
      </c>
    </row>
    <row r="1326" spans="1:28" s="277" customFormat="1" ht="20.25">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86"/>
        <v/>
      </c>
      <c r="T1326" s="225" t="str">
        <f ca="1">IF(B1326="","",IF(ISERROR(MATCH($J1326,SorP!$B$1:$B$6230,0)),"",INDIRECT("'SorP'!$A$"&amp;MATCH($J1326,SorP!$B$1:$B$6230,0))))</f>
        <v/>
      </c>
      <c r="U1326" s="241"/>
      <c r="V1326" s="275" t="e">
        <f>IF(C1326="",NA(),MATCH($B1326&amp;$C1326,'Smelter Look-up'!$J:$J,0))</f>
        <v>#N/A</v>
      </c>
      <c r="W1326" s="276"/>
      <c r="X1326" s="276">
        <f t="shared" ca="1" si="187"/>
        <v>0</v>
      </c>
      <c r="Y1326" s="276"/>
      <c r="Z1326" s="276"/>
      <c r="AB1326" s="278" t="str">
        <f t="shared" si="188"/>
        <v/>
      </c>
    </row>
    <row r="1327" spans="1:28" s="277" customFormat="1" ht="20.25">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186"/>
        <v/>
      </c>
      <c r="T1327" s="225" t="str">
        <f ca="1">IF(B1327="","",IF(ISERROR(MATCH($J1327,SorP!$B$1:$B$6230,0)),"",INDIRECT("'SorP'!$A$"&amp;MATCH($J1327,SorP!$B$1:$B$6230,0))))</f>
        <v/>
      </c>
      <c r="U1327" s="241"/>
      <c r="V1327" s="275" t="e">
        <f>IF(C1327="",NA(),MATCH($B1327&amp;$C1327,'Smelter Look-up'!$J:$J,0))</f>
        <v>#N/A</v>
      </c>
      <c r="W1327" s="276"/>
      <c r="X1327" s="276">
        <f t="shared" ca="1" si="187"/>
        <v>0</v>
      </c>
      <c r="Y1327" s="276"/>
      <c r="Z1327" s="276"/>
      <c r="AB1327" s="278" t="str">
        <f t="shared" si="188"/>
        <v/>
      </c>
    </row>
    <row r="1328" spans="1:28" s="277" customFormat="1" ht="20.25">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186"/>
        <v/>
      </c>
      <c r="T1328" s="225" t="str">
        <f ca="1">IF(B1328="","",IF(ISERROR(MATCH($J1328,SorP!$B$1:$B$6230,0)),"",INDIRECT("'SorP'!$A$"&amp;MATCH($J1328,SorP!$B$1:$B$6230,0))))</f>
        <v/>
      </c>
      <c r="U1328" s="241"/>
      <c r="V1328" s="275" t="e">
        <f>IF(C1328="",NA(),MATCH($B1328&amp;$C1328,'Smelter Look-up'!$J:$J,0))</f>
        <v>#N/A</v>
      </c>
      <c r="W1328" s="276"/>
      <c r="X1328" s="276">
        <f t="shared" ca="1" si="187"/>
        <v>0</v>
      </c>
      <c r="Y1328" s="276"/>
      <c r="Z1328" s="276"/>
      <c r="AB1328" s="278" t="str">
        <f t="shared" si="188"/>
        <v/>
      </c>
    </row>
    <row r="1329" spans="1:28" s="277" customFormat="1" ht="20.25">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186"/>
        <v/>
      </c>
      <c r="T1329" s="225" t="str">
        <f ca="1">IF(B1329="","",IF(ISERROR(MATCH($J1329,SorP!$B$1:$B$6230,0)),"",INDIRECT("'SorP'!$A$"&amp;MATCH($J1329,SorP!$B$1:$B$6230,0))))</f>
        <v/>
      </c>
      <c r="U1329" s="241"/>
      <c r="V1329" s="275" t="e">
        <f>IF(C1329="",NA(),MATCH($B1329&amp;$C1329,'Smelter Look-up'!$J:$J,0))</f>
        <v>#N/A</v>
      </c>
      <c r="W1329" s="276"/>
      <c r="X1329" s="276">
        <f t="shared" ca="1" si="187"/>
        <v>0</v>
      </c>
      <c r="Y1329" s="276"/>
      <c r="Z1329" s="276"/>
      <c r="AB1329" s="278" t="str">
        <f t="shared" si="188"/>
        <v/>
      </c>
    </row>
    <row r="1330" spans="1:28" s="277" customFormat="1" ht="20.25">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186"/>
        <v/>
      </c>
      <c r="T1330" s="225" t="str">
        <f ca="1">IF(B1330="","",IF(ISERROR(MATCH($J1330,SorP!$B$1:$B$6230,0)),"",INDIRECT("'SorP'!$A$"&amp;MATCH($J1330,SorP!$B$1:$B$6230,0))))</f>
        <v/>
      </c>
      <c r="U1330" s="241"/>
      <c r="V1330" s="275" t="e">
        <f>IF(C1330="",NA(),MATCH($B1330&amp;$C1330,'Smelter Look-up'!$J:$J,0))</f>
        <v>#N/A</v>
      </c>
      <c r="W1330" s="276"/>
      <c r="X1330" s="276">
        <f t="shared" ca="1" si="187"/>
        <v>0</v>
      </c>
      <c r="Y1330" s="276"/>
      <c r="Z1330" s="276"/>
      <c r="AB1330" s="278" t="str">
        <f t="shared" si="188"/>
        <v/>
      </c>
    </row>
    <row r="1331" spans="1:28" s="277" customFormat="1" ht="20.25">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186"/>
        <v/>
      </c>
      <c r="T1331" s="225" t="str">
        <f ca="1">IF(B1331="","",IF(ISERROR(MATCH($J1331,SorP!$B$1:$B$6230,0)),"",INDIRECT("'SorP'!$A$"&amp;MATCH($J1331,SorP!$B$1:$B$6230,0))))</f>
        <v/>
      </c>
      <c r="U1331" s="241"/>
      <c r="V1331" s="275" t="e">
        <f>IF(C1331="",NA(),MATCH($B1331&amp;$C1331,'Smelter Look-up'!$J:$J,0))</f>
        <v>#N/A</v>
      </c>
      <c r="W1331" s="276"/>
      <c r="X1331" s="276">
        <f t="shared" ca="1" si="187"/>
        <v>0</v>
      </c>
      <c r="Y1331" s="276"/>
      <c r="Z1331" s="276"/>
      <c r="AB1331" s="278" t="str">
        <f t="shared" si="188"/>
        <v/>
      </c>
    </row>
    <row r="1332" spans="1:28" s="277" customFormat="1" ht="20.25">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186"/>
        <v/>
      </c>
      <c r="T1332" s="225" t="str">
        <f ca="1">IF(B1332="","",IF(ISERROR(MATCH($J1332,SorP!$B$1:$B$6230,0)),"",INDIRECT("'SorP'!$A$"&amp;MATCH($J1332,SorP!$B$1:$B$6230,0))))</f>
        <v/>
      </c>
      <c r="U1332" s="241"/>
      <c r="V1332" s="275" t="e">
        <f>IF(C1332="",NA(),MATCH($B1332&amp;$C1332,'Smelter Look-up'!$J:$J,0))</f>
        <v>#N/A</v>
      </c>
      <c r="W1332" s="276"/>
      <c r="X1332" s="276">
        <f t="shared" ca="1" si="187"/>
        <v>0</v>
      </c>
      <c r="Y1332" s="276"/>
      <c r="Z1332" s="276"/>
      <c r="AB1332" s="278" t="str">
        <f t="shared" si="188"/>
        <v/>
      </c>
    </row>
    <row r="1333" spans="1:28" s="277" customFormat="1" ht="20.25">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186"/>
        <v/>
      </c>
      <c r="T1333" s="225" t="str">
        <f ca="1">IF(B1333="","",IF(ISERROR(MATCH($J1333,SorP!$B$1:$B$6230,0)),"",INDIRECT("'SorP'!$A$"&amp;MATCH($J1333,SorP!$B$1:$B$6230,0))))</f>
        <v/>
      </c>
      <c r="U1333" s="241"/>
      <c r="V1333" s="275" t="e">
        <f>IF(C1333="",NA(),MATCH($B1333&amp;$C1333,'Smelter Look-up'!$J:$J,0))</f>
        <v>#N/A</v>
      </c>
      <c r="W1333" s="276"/>
      <c r="X1333" s="276">
        <f t="shared" ca="1" si="187"/>
        <v>0</v>
      </c>
      <c r="Y1333" s="276"/>
      <c r="Z1333" s="276"/>
      <c r="AB1333" s="278" t="str">
        <f t="shared" si="188"/>
        <v/>
      </c>
    </row>
    <row r="1334" spans="1:28" s="277" customFormat="1" ht="20.25">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186"/>
        <v/>
      </c>
      <c r="T1334" s="225" t="str">
        <f ca="1">IF(B1334="","",IF(ISERROR(MATCH($J1334,SorP!$B$1:$B$6230,0)),"",INDIRECT("'SorP'!$A$"&amp;MATCH($J1334,SorP!$B$1:$B$6230,0))))</f>
        <v/>
      </c>
      <c r="U1334" s="241"/>
      <c r="V1334" s="275" t="e">
        <f>IF(C1334="",NA(),MATCH($B1334&amp;$C1334,'Smelter Look-up'!$J:$J,0))</f>
        <v>#N/A</v>
      </c>
      <c r="W1334" s="276"/>
      <c r="X1334" s="276">
        <f t="shared" ca="1" si="187"/>
        <v>0</v>
      </c>
      <c r="Y1334" s="276"/>
      <c r="Z1334" s="276"/>
      <c r="AB1334" s="278" t="str">
        <f t="shared" si="188"/>
        <v/>
      </c>
    </row>
    <row r="1335" spans="1:28" s="277" customFormat="1" ht="20.25">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186"/>
        <v/>
      </c>
      <c r="T1335" s="225" t="str">
        <f ca="1">IF(B1335="","",IF(ISERROR(MATCH($J1335,SorP!$B$1:$B$6230,0)),"",INDIRECT("'SorP'!$A$"&amp;MATCH($J1335,SorP!$B$1:$B$6230,0))))</f>
        <v/>
      </c>
      <c r="U1335" s="241"/>
      <c r="V1335" s="275" t="e">
        <f>IF(C1335="",NA(),MATCH($B1335&amp;$C1335,'Smelter Look-up'!$J:$J,0))</f>
        <v>#N/A</v>
      </c>
      <c r="W1335" s="276"/>
      <c r="X1335" s="276">
        <f t="shared" ca="1" si="187"/>
        <v>0</v>
      </c>
      <c r="Y1335" s="276"/>
      <c r="Z1335" s="276"/>
      <c r="AB1335" s="278" t="str">
        <f t="shared" si="188"/>
        <v/>
      </c>
    </row>
    <row r="1336" spans="1:28" s="277" customFormat="1" ht="20.25">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186"/>
        <v/>
      </c>
      <c r="T1336" s="225" t="str">
        <f ca="1">IF(B1336="","",IF(ISERROR(MATCH($J1336,SorP!$B$1:$B$6230,0)),"",INDIRECT("'SorP'!$A$"&amp;MATCH($J1336,SorP!$B$1:$B$6230,0))))</f>
        <v/>
      </c>
      <c r="U1336" s="241"/>
      <c r="V1336" s="275" t="e">
        <f>IF(C1336="",NA(),MATCH($B1336&amp;$C1336,'Smelter Look-up'!$J:$J,0))</f>
        <v>#N/A</v>
      </c>
      <c r="W1336" s="276"/>
      <c r="X1336" s="276">
        <f t="shared" ca="1" si="187"/>
        <v>0</v>
      </c>
      <c r="Y1336" s="276"/>
      <c r="Z1336" s="276"/>
      <c r="AB1336" s="278" t="str">
        <f t="shared" si="188"/>
        <v/>
      </c>
    </row>
    <row r="1337" spans="1:28" s="277" customFormat="1" ht="20.25">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186"/>
        <v/>
      </c>
      <c r="T1337" s="225" t="str">
        <f ca="1">IF(B1337="","",IF(ISERROR(MATCH($J1337,SorP!$B$1:$B$6230,0)),"",INDIRECT("'SorP'!$A$"&amp;MATCH($J1337,SorP!$B$1:$B$6230,0))))</f>
        <v/>
      </c>
      <c r="U1337" s="241"/>
      <c r="V1337" s="275" t="e">
        <f>IF(C1337="",NA(),MATCH($B1337&amp;$C1337,'Smelter Look-up'!$J:$J,0))</f>
        <v>#N/A</v>
      </c>
      <c r="W1337" s="276"/>
      <c r="X1337" s="276">
        <f t="shared" ca="1" si="187"/>
        <v>0</v>
      </c>
      <c r="Y1337" s="276"/>
      <c r="Z1337" s="276"/>
      <c r="AB1337" s="278" t="str">
        <f t="shared" si="188"/>
        <v/>
      </c>
    </row>
    <row r="1338" spans="1:28" s="277" customFormat="1" ht="20.25">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186"/>
        <v/>
      </c>
      <c r="T1338" s="225" t="str">
        <f ca="1">IF(B1338="","",IF(ISERROR(MATCH($J1338,SorP!$B$1:$B$6230,0)),"",INDIRECT("'SorP'!$A$"&amp;MATCH($J1338,SorP!$B$1:$B$6230,0))))</f>
        <v/>
      </c>
      <c r="U1338" s="241"/>
      <c r="V1338" s="275" t="e">
        <f>IF(C1338="",NA(),MATCH($B1338&amp;$C1338,'Smelter Look-up'!$J:$J,0))</f>
        <v>#N/A</v>
      </c>
      <c r="W1338" s="276"/>
      <c r="X1338" s="276">
        <f t="shared" ca="1" si="187"/>
        <v>0</v>
      </c>
      <c r="Y1338" s="276"/>
      <c r="Z1338" s="276"/>
      <c r="AB1338" s="278" t="str">
        <f t="shared" si="188"/>
        <v/>
      </c>
    </row>
    <row r="1339" spans="1:28" s="277" customFormat="1" ht="20.25">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ref="S1339" ca="1" si="189">IF(B1339="","",IF(ISERROR(MATCH($E1339,CL,0)),"Unknown",INDIRECT("'C'!$A$"&amp;MATCH($E1339,CL,0)+1)))</f>
        <v/>
      </c>
      <c r="T1339" s="225" t="str">
        <f ca="1">IF(B1339="","",IF(ISERROR(MATCH($J1339,SorP!$B$1:$B$6230,0)),"",INDIRECT("'SorP'!$A$"&amp;MATCH($J1339,SorP!$B$1:$B$6230,0))))</f>
        <v/>
      </c>
      <c r="U1339" s="241"/>
      <c r="V1339" s="275" t="e">
        <f>IF(C1339="",NA(),MATCH($B1339&amp;$C1339,'Smelter Look-up'!$J:$J,0))</f>
        <v>#N/A</v>
      </c>
      <c r="W1339" s="276"/>
      <c r="X1339" s="276">
        <f t="shared" ref="X1339" ca="1" si="190">IF(AND(C1339="Smelter not listed",OR(LEN(D1339)=0,LEN(E1339)=0)),1,0)</f>
        <v>0</v>
      </c>
      <c r="Y1339" s="276"/>
      <c r="Z1339" s="276"/>
      <c r="AB1339" s="278" t="str">
        <f t="shared" ref="AB1339" si="191">B1339&amp;C1339</f>
        <v/>
      </c>
    </row>
    <row r="1340" spans="1:28" s="277" customFormat="1" ht="20.25">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ref="S1340:S1371" ca="1" si="192">IF(B1340="","",IF(ISERROR(MATCH($E1340,CL,0)),"Unknown",INDIRECT("'C'!$A$"&amp;MATCH($E1340,CL,0)+1)))</f>
        <v/>
      </c>
      <c r="T1340" s="225" t="str">
        <f ca="1">IF(B1340="","",IF(ISERROR(MATCH($J1340,SorP!$B$1:$B$6230,0)),"",INDIRECT("'SorP'!$A$"&amp;MATCH($J1340,SorP!$B$1:$B$6230,0))))</f>
        <v/>
      </c>
      <c r="U1340" s="241"/>
      <c r="V1340" s="275" t="e">
        <f>IF(C1340="",NA(),MATCH($B1340&amp;$C1340,'Smelter Look-up'!$J:$J,0))</f>
        <v>#N/A</v>
      </c>
      <c r="W1340" s="276"/>
      <c r="X1340" s="276">
        <f t="shared" ref="X1340:X1371" ca="1" si="193">IF(AND(C1340="Smelter not listed",OR(LEN(D1340)=0,LEN(E1340)=0)),1,0)</f>
        <v>0</v>
      </c>
      <c r="Y1340" s="276"/>
      <c r="Z1340" s="276"/>
      <c r="AB1340" s="278" t="str">
        <f t="shared" ref="AB1340:AB1371" si="194">B1340&amp;C1340</f>
        <v/>
      </c>
    </row>
    <row r="1341" spans="1:28" s="277" customFormat="1" ht="20.25">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192"/>
        <v/>
      </c>
      <c r="T1341" s="225" t="str">
        <f ca="1">IF(B1341="","",IF(ISERROR(MATCH($J1341,SorP!$B$1:$B$6230,0)),"",INDIRECT("'SorP'!$A$"&amp;MATCH($J1341,SorP!$B$1:$B$6230,0))))</f>
        <v/>
      </c>
      <c r="U1341" s="241"/>
      <c r="V1341" s="275" t="e">
        <f>IF(C1341="",NA(),MATCH($B1341&amp;$C1341,'Smelter Look-up'!$J:$J,0))</f>
        <v>#N/A</v>
      </c>
      <c r="W1341" s="276"/>
      <c r="X1341" s="276">
        <f t="shared" ca="1" si="193"/>
        <v>0</v>
      </c>
      <c r="Y1341" s="276"/>
      <c r="Z1341" s="276"/>
      <c r="AB1341" s="278" t="str">
        <f t="shared" si="194"/>
        <v/>
      </c>
    </row>
    <row r="1342" spans="1:28" s="277" customFormat="1" ht="20.25">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192"/>
        <v/>
      </c>
      <c r="T1342" s="225" t="str">
        <f ca="1">IF(B1342="","",IF(ISERROR(MATCH($J1342,SorP!$B$1:$B$6230,0)),"",INDIRECT("'SorP'!$A$"&amp;MATCH($J1342,SorP!$B$1:$B$6230,0))))</f>
        <v/>
      </c>
      <c r="U1342" s="241"/>
      <c r="V1342" s="275" t="e">
        <f>IF(C1342="",NA(),MATCH($B1342&amp;$C1342,'Smelter Look-up'!$J:$J,0))</f>
        <v>#N/A</v>
      </c>
      <c r="W1342" s="276"/>
      <c r="X1342" s="276">
        <f t="shared" ca="1" si="193"/>
        <v>0</v>
      </c>
      <c r="Y1342" s="276"/>
      <c r="Z1342" s="276"/>
      <c r="AB1342" s="278" t="str">
        <f t="shared" si="194"/>
        <v/>
      </c>
    </row>
    <row r="1343" spans="1:28" s="277" customFormat="1" ht="20.25">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192"/>
        <v/>
      </c>
      <c r="T1343" s="225" t="str">
        <f ca="1">IF(B1343="","",IF(ISERROR(MATCH($J1343,SorP!$B$1:$B$6230,0)),"",INDIRECT("'SorP'!$A$"&amp;MATCH($J1343,SorP!$B$1:$B$6230,0))))</f>
        <v/>
      </c>
      <c r="U1343" s="241"/>
      <c r="V1343" s="275" t="e">
        <f>IF(C1343="",NA(),MATCH($B1343&amp;$C1343,'Smelter Look-up'!$J:$J,0))</f>
        <v>#N/A</v>
      </c>
      <c r="W1343" s="276"/>
      <c r="X1343" s="276">
        <f t="shared" ca="1" si="193"/>
        <v>0</v>
      </c>
      <c r="Y1343" s="276"/>
      <c r="Z1343" s="276"/>
      <c r="AB1343" s="278" t="str">
        <f t="shared" si="194"/>
        <v/>
      </c>
    </row>
    <row r="1344" spans="1:28" s="277" customFormat="1" ht="20.25">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192"/>
        <v/>
      </c>
      <c r="T1344" s="225" t="str">
        <f ca="1">IF(B1344="","",IF(ISERROR(MATCH($J1344,SorP!$B$1:$B$6230,0)),"",INDIRECT("'SorP'!$A$"&amp;MATCH($J1344,SorP!$B$1:$B$6230,0))))</f>
        <v/>
      </c>
      <c r="U1344" s="241"/>
      <c r="V1344" s="275" t="e">
        <f>IF(C1344="",NA(),MATCH($B1344&amp;$C1344,'Smelter Look-up'!$J:$J,0))</f>
        <v>#N/A</v>
      </c>
      <c r="W1344" s="276"/>
      <c r="X1344" s="276">
        <f t="shared" ca="1" si="193"/>
        <v>0</v>
      </c>
      <c r="Y1344" s="276"/>
      <c r="Z1344" s="276"/>
      <c r="AB1344" s="278" t="str">
        <f t="shared" si="194"/>
        <v/>
      </c>
    </row>
    <row r="1345" spans="1:28" s="277" customFormat="1" ht="20.25">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192"/>
        <v/>
      </c>
      <c r="T1345" s="225" t="str">
        <f ca="1">IF(B1345="","",IF(ISERROR(MATCH($J1345,SorP!$B$1:$B$6230,0)),"",INDIRECT("'SorP'!$A$"&amp;MATCH($J1345,SorP!$B$1:$B$6230,0))))</f>
        <v/>
      </c>
      <c r="U1345" s="241"/>
      <c r="V1345" s="275" t="e">
        <f>IF(C1345="",NA(),MATCH($B1345&amp;$C1345,'Smelter Look-up'!$J:$J,0))</f>
        <v>#N/A</v>
      </c>
      <c r="W1345" s="276"/>
      <c r="X1345" s="276">
        <f t="shared" ca="1" si="193"/>
        <v>0</v>
      </c>
      <c r="Y1345" s="276"/>
      <c r="Z1345" s="276"/>
      <c r="AB1345" s="278" t="str">
        <f t="shared" si="194"/>
        <v/>
      </c>
    </row>
    <row r="1346" spans="1:28" s="277" customFormat="1" ht="20.25">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192"/>
        <v/>
      </c>
      <c r="T1346" s="225" t="str">
        <f ca="1">IF(B1346="","",IF(ISERROR(MATCH($J1346,SorP!$B$1:$B$6230,0)),"",INDIRECT("'SorP'!$A$"&amp;MATCH($J1346,SorP!$B$1:$B$6230,0))))</f>
        <v/>
      </c>
      <c r="U1346" s="241"/>
      <c r="V1346" s="275" t="e">
        <f>IF(C1346="",NA(),MATCH($B1346&amp;$C1346,'Smelter Look-up'!$J:$J,0))</f>
        <v>#N/A</v>
      </c>
      <c r="W1346" s="276"/>
      <c r="X1346" s="276">
        <f t="shared" ca="1" si="193"/>
        <v>0</v>
      </c>
      <c r="Y1346" s="276"/>
      <c r="Z1346" s="276"/>
      <c r="AB1346" s="278" t="str">
        <f t="shared" si="194"/>
        <v/>
      </c>
    </row>
    <row r="1347" spans="1:28" s="277" customFormat="1" ht="20.25">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192"/>
        <v/>
      </c>
      <c r="T1347" s="225" t="str">
        <f ca="1">IF(B1347="","",IF(ISERROR(MATCH($J1347,SorP!$B$1:$B$6230,0)),"",INDIRECT("'SorP'!$A$"&amp;MATCH($J1347,SorP!$B$1:$B$6230,0))))</f>
        <v/>
      </c>
      <c r="U1347" s="241"/>
      <c r="V1347" s="275" t="e">
        <f>IF(C1347="",NA(),MATCH($B1347&amp;$C1347,'Smelter Look-up'!$J:$J,0))</f>
        <v>#N/A</v>
      </c>
      <c r="W1347" s="276"/>
      <c r="X1347" s="276">
        <f t="shared" ca="1" si="193"/>
        <v>0</v>
      </c>
      <c r="Y1347" s="276"/>
      <c r="Z1347" s="276"/>
      <c r="AB1347" s="278" t="str">
        <f t="shared" si="194"/>
        <v/>
      </c>
    </row>
    <row r="1348" spans="1:28" s="277" customFormat="1" ht="20.25">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192"/>
        <v/>
      </c>
      <c r="T1348" s="225" t="str">
        <f ca="1">IF(B1348="","",IF(ISERROR(MATCH($J1348,SorP!$B$1:$B$6230,0)),"",INDIRECT("'SorP'!$A$"&amp;MATCH($J1348,SorP!$B$1:$B$6230,0))))</f>
        <v/>
      </c>
      <c r="U1348" s="241"/>
      <c r="V1348" s="275" t="e">
        <f>IF(C1348="",NA(),MATCH($B1348&amp;$C1348,'Smelter Look-up'!$J:$J,0))</f>
        <v>#N/A</v>
      </c>
      <c r="W1348" s="276"/>
      <c r="X1348" s="276">
        <f t="shared" ca="1" si="193"/>
        <v>0</v>
      </c>
      <c r="Y1348" s="276"/>
      <c r="Z1348" s="276"/>
      <c r="AB1348" s="278" t="str">
        <f t="shared" si="194"/>
        <v/>
      </c>
    </row>
    <row r="1349" spans="1:28" s="277" customFormat="1" ht="20.25">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192"/>
        <v/>
      </c>
      <c r="T1349" s="225" t="str">
        <f ca="1">IF(B1349="","",IF(ISERROR(MATCH($J1349,SorP!$B$1:$B$6230,0)),"",INDIRECT("'SorP'!$A$"&amp;MATCH($J1349,SorP!$B$1:$B$6230,0))))</f>
        <v/>
      </c>
      <c r="U1349" s="241"/>
      <c r="V1349" s="275" t="e">
        <f>IF(C1349="",NA(),MATCH($B1349&amp;$C1349,'Smelter Look-up'!$J:$J,0))</f>
        <v>#N/A</v>
      </c>
      <c r="W1349" s="276"/>
      <c r="X1349" s="276">
        <f t="shared" ca="1" si="193"/>
        <v>0</v>
      </c>
      <c r="Y1349" s="276"/>
      <c r="Z1349" s="276"/>
      <c r="AB1349" s="278" t="str">
        <f t="shared" si="194"/>
        <v/>
      </c>
    </row>
    <row r="1350" spans="1:28" s="277" customFormat="1" ht="20.25">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192"/>
        <v/>
      </c>
      <c r="T1350" s="225" t="str">
        <f ca="1">IF(B1350="","",IF(ISERROR(MATCH($J1350,SorP!$B$1:$B$6230,0)),"",INDIRECT("'SorP'!$A$"&amp;MATCH($J1350,SorP!$B$1:$B$6230,0))))</f>
        <v/>
      </c>
      <c r="U1350" s="241"/>
      <c r="V1350" s="275" t="e">
        <f>IF(C1350="",NA(),MATCH($B1350&amp;$C1350,'Smelter Look-up'!$J:$J,0))</f>
        <v>#N/A</v>
      </c>
      <c r="W1350" s="276"/>
      <c r="X1350" s="276">
        <f t="shared" ca="1" si="193"/>
        <v>0</v>
      </c>
      <c r="Y1350" s="276"/>
      <c r="Z1350" s="276"/>
      <c r="AB1350" s="278" t="str">
        <f t="shared" si="194"/>
        <v/>
      </c>
    </row>
    <row r="1351" spans="1:28" s="277" customFormat="1" ht="20.25">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192"/>
        <v/>
      </c>
      <c r="T1351" s="225" t="str">
        <f ca="1">IF(B1351="","",IF(ISERROR(MATCH($J1351,SorP!$B$1:$B$6230,0)),"",INDIRECT("'SorP'!$A$"&amp;MATCH($J1351,SorP!$B$1:$B$6230,0))))</f>
        <v/>
      </c>
      <c r="U1351" s="241"/>
      <c r="V1351" s="275" t="e">
        <f>IF(C1351="",NA(),MATCH($B1351&amp;$C1351,'Smelter Look-up'!$J:$J,0))</f>
        <v>#N/A</v>
      </c>
      <c r="W1351" s="276"/>
      <c r="X1351" s="276">
        <f t="shared" ca="1" si="193"/>
        <v>0</v>
      </c>
      <c r="Y1351" s="276"/>
      <c r="Z1351" s="276"/>
      <c r="AB1351" s="278" t="str">
        <f t="shared" si="194"/>
        <v/>
      </c>
    </row>
    <row r="1352" spans="1:28" s="277" customFormat="1" ht="20.25">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192"/>
        <v/>
      </c>
      <c r="T1352" s="225" t="str">
        <f ca="1">IF(B1352="","",IF(ISERROR(MATCH($J1352,SorP!$B$1:$B$6230,0)),"",INDIRECT("'SorP'!$A$"&amp;MATCH($J1352,SorP!$B$1:$B$6230,0))))</f>
        <v/>
      </c>
      <c r="U1352" s="241"/>
      <c r="V1352" s="275" t="e">
        <f>IF(C1352="",NA(),MATCH($B1352&amp;$C1352,'Smelter Look-up'!$J:$J,0))</f>
        <v>#N/A</v>
      </c>
      <c r="W1352" s="276"/>
      <c r="X1352" s="276">
        <f t="shared" ca="1" si="193"/>
        <v>0</v>
      </c>
      <c r="Y1352" s="276"/>
      <c r="Z1352" s="276"/>
      <c r="AB1352" s="278" t="str">
        <f t="shared" si="194"/>
        <v/>
      </c>
    </row>
    <row r="1353" spans="1:28" s="277" customFormat="1" ht="20.25">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192"/>
        <v/>
      </c>
      <c r="T1353" s="225" t="str">
        <f ca="1">IF(B1353="","",IF(ISERROR(MATCH($J1353,SorP!$B$1:$B$6230,0)),"",INDIRECT("'SorP'!$A$"&amp;MATCH($J1353,SorP!$B$1:$B$6230,0))))</f>
        <v/>
      </c>
      <c r="U1353" s="241"/>
      <c r="V1353" s="275" t="e">
        <f>IF(C1353="",NA(),MATCH($B1353&amp;$C1353,'Smelter Look-up'!$J:$J,0))</f>
        <v>#N/A</v>
      </c>
      <c r="W1353" s="276"/>
      <c r="X1353" s="276">
        <f t="shared" ca="1" si="193"/>
        <v>0</v>
      </c>
      <c r="Y1353" s="276"/>
      <c r="Z1353" s="276"/>
      <c r="AB1353" s="278" t="str">
        <f t="shared" si="194"/>
        <v/>
      </c>
    </row>
    <row r="1354" spans="1:28" s="277" customFormat="1" ht="20.25">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192"/>
        <v/>
      </c>
      <c r="T1354" s="225" t="str">
        <f ca="1">IF(B1354="","",IF(ISERROR(MATCH($J1354,SorP!$B$1:$B$6230,0)),"",INDIRECT("'SorP'!$A$"&amp;MATCH($J1354,SorP!$B$1:$B$6230,0))))</f>
        <v/>
      </c>
      <c r="U1354" s="241"/>
      <c r="V1354" s="275" t="e">
        <f>IF(C1354="",NA(),MATCH($B1354&amp;$C1354,'Smelter Look-up'!$J:$J,0))</f>
        <v>#N/A</v>
      </c>
      <c r="W1354" s="276"/>
      <c r="X1354" s="276">
        <f t="shared" ca="1" si="193"/>
        <v>0</v>
      </c>
      <c r="Y1354" s="276"/>
      <c r="Z1354" s="276"/>
      <c r="AB1354" s="278" t="str">
        <f t="shared" si="194"/>
        <v/>
      </c>
    </row>
    <row r="1355" spans="1:28" s="277" customFormat="1" ht="20.25">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192"/>
        <v/>
      </c>
      <c r="T1355" s="225" t="str">
        <f ca="1">IF(B1355="","",IF(ISERROR(MATCH($J1355,SorP!$B$1:$B$6230,0)),"",INDIRECT("'SorP'!$A$"&amp;MATCH($J1355,SorP!$B$1:$B$6230,0))))</f>
        <v/>
      </c>
      <c r="U1355" s="241"/>
      <c r="V1355" s="275" t="e">
        <f>IF(C1355="",NA(),MATCH($B1355&amp;$C1355,'Smelter Look-up'!$J:$J,0))</f>
        <v>#N/A</v>
      </c>
      <c r="W1355" s="276"/>
      <c r="X1355" s="276">
        <f t="shared" ca="1" si="193"/>
        <v>0</v>
      </c>
      <c r="Y1355" s="276"/>
      <c r="Z1355" s="276"/>
      <c r="AB1355" s="278" t="str">
        <f t="shared" si="194"/>
        <v/>
      </c>
    </row>
    <row r="1356" spans="1:28" s="277" customFormat="1" ht="20.25">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192"/>
        <v/>
      </c>
      <c r="T1356" s="225" t="str">
        <f ca="1">IF(B1356="","",IF(ISERROR(MATCH($J1356,SorP!$B$1:$B$6230,0)),"",INDIRECT("'SorP'!$A$"&amp;MATCH($J1356,SorP!$B$1:$B$6230,0))))</f>
        <v/>
      </c>
      <c r="U1356" s="241"/>
      <c r="V1356" s="275" t="e">
        <f>IF(C1356="",NA(),MATCH($B1356&amp;$C1356,'Smelter Look-up'!$J:$J,0))</f>
        <v>#N/A</v>
      </c>
      <c r="W1356" s="276"/>
      <c r="X1356" s="276">
        <f t="shared" ca="1" si="193"/>
        <v>0</v>
      </c>
      <c r="Y1356" s="276"/>
      <c r="Z1356" s="276"/>
      <c r="AB1356" s="278" t="str">
        <f t="shared" si="194"/>
        <v/>
      </c>
    </row>
    <row r="1357" spans="1:28" s="277" customFormat="1" ht="20.25">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192"/>
        <v/>
      </c>
      <c r="T1357" s="225" t="str">
        <f ca="1">IF(B1357="","",IF(ISERROR(MATCH($J1357,SorP!$B$1:$B$6230,0)),"",INDIRECT("'SorP'!$A$"&amp;MATCH($J1357,SorP!$B$1:$B$6230,0))))</f>
        <v/>
      </c>
      <c r="U1357" s="241"/>
      <c r="V1357" s="275" t="e">
        <f>IF(C1357="",NA(),MATCH($B1357&amp;$C1357,'Smelter Look-up'!$J:$J,0))</f>
        <v>#N/A</v>
      </c>
      <c r="W1357" s="276"/>
      <c r="X1357" s="276">
        <f t="shared" ca="1" si="193"/>
        <v>0</v>
      </c>
      <c r="Y1357" s="276"/>
      <c r="Z1357" s="276"/>
      <c r="AB1357" s="278" t="str">
        <f t="shared" si="194"/>
        <v/>
      </c>
    </row>
    <row r="1358" spans="1:28" s="277" customFormat="1" ht="20.25">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192"/>
        <v/>
      </c>
      <c r="T1358" s="225" t="str">
        <f ca="1">IF(B1358="","",IF(ISERROR(MATCH($J1358,SorP!$B$1:$B$6230,0)),"",INDIRECT("'SorP'!$A$"&amp;MATCH($J1358,SorP!$B$1:$B$6230,0))))</f>
        <v/>
      </c>
      <c r="U1358" s="241"/>
      <c r="V1358" s="275" t="e">
        <f>IF(C1358="",NA(),MATCH($B1358&amp;$C1358,'Smelter Look-up'!$J:$J,0))</f>
        <v>#N/A</v>
      </c>
      <c r="W1358" s="276"/>
      <c r="X1358" s="276">
        <f t="shared" ca="1" si="193"/>
        <v>0</v>
      </c>
      <c r="Y1358" s="276"/>
      <c r="Z1358" s="276"/>
      <c r="AB1358" s="278" t="str">
        <f t="shared" si="194"/>
        <v/>
      </c>
    </row>
    <row r="1359" spans="1:28" s="277" customFormat="1" ht="20.25">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192"/>
        <v/>
      </c>
      <c r="T1359" s="225" t="str">
        <f ca="1">IF(B1359="","",IF(ISERROR(MATCH($J1359,SorP!$B$1:$B$6230,0)),"",INDIRECT("'SorP'!$A$"&amp;MATCH($J1359,SorP!$B$1:$B$6230,0))))</f>
        <v/>
      </c>
      <c r="U1359" s="241"/>
      <c r="V1359" s="275" t="e">
        <f>IF(C1359="",NA(),MATCH($B1359&amp;$C1359,'Smelter Look-up'!$J:$J,0))</f>
        <v>#N/A</v>
      </c>
      <c r="W1359" s="276"/>
      <c r="X1359" s="276">
        <f t="shared" ca="1" si="193"/>
        <v>0</v>
      </c>
      <c r="Y1359" s="276"/>
      <c r="Z1359" s="276"/>
      <c r="AB1359" s="278" t="str">
        <f t="shared" si="194"/>
        <v/>
      </c>
    </row>
    <row r="1360" spans="1:28" s="277" customFormat="1" ht="20.25">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192"/>
        <v/>
      </c>
      <c r="T1360" s="225" t="str">
        <f ca="1">IF(B1360="","",IF(ISERROR(MATCH($J1360,SorP!$B$1:$B$6230,0)),"",INDIRECT("'SorP'!$A$"&amp;MATCH($J1360,SorP!$B$1:$B$6230,0))))</f>
        <v/>
      </c>
      <c r="U1360" s="241"/>
      <c r="V1360" s="275" t="e">
        <f>IF(C1360="",NA(),MATCH($B1360&amp;$C1360,'Smelter Look-up'!$J:$J,0))</f>
        <v>#N/A</v>
      </c>
      <c r="W1360" s="276"/>
      <c r="X1360" s="276">
        <f t="shared" ca="1" si="193"/>
        <v>0</v>
      </c>
      <c r="Y1360" s="276"/>
      <c r="Z1360" s="276"/>
      <c r="AB1360" s="278" t="str">
        <f t="shared" si="194"/>
        <v/>
      </c>
    </row>
    <row r="1361" spans="1:28" s="277" customFormat="1" ht="20.25">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192"/>
        <v/>
      </c>
      <c r="T1361" s="225" t="str">
        <f ca="1">IF(B1361="","",IF(ISERROR(MATCH($J1361,SorP!$B$1:$B$6230,0)),"",INDIRECT("'SorP'!$A$"&amp;MATCH($J1361,SorP!$B$1:$B$6230,0))))</f>
        <v/>
      </c>
      <c r="U1361" s="241"/>
      <c r="V1361" s="275" t="e">
        <f>IF(C1361="",NA(),MATCH($B1361&amp;$C1361,'Smelter Look-up'!$J:$J,0))</f>
        <v>#N/A</v>
      </c>
      <c r="W1361" s="276"/>
      <c r="X1361" s="276">
        <f t="shared" ca="1" si="193"/>
        <v>0</v>
      </c>
      <c r="Y1361" s="276"/>
      <c r="Z1361" s="276"/>
      <c r="AB1361" s="278" t="str">
        <f t="shared" si="194"/>
        <v/>
      </c>
    </row>
    <row r="1362" spans="1:28" s="277" customFormat="1" ht="20.25">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192"/>
        <v/>
      </c>
      <c r="T1362" s="225" t="str">
        <f ca="1">IF(B1362="","",IF(ISERROR(MATCH($J1362,SorP!$B$1:$B$6230,0)),"",INDIRECT("'SorP'!$A$"&amp;MATCH($J1362,SorP!$B$1:$B$6230,0))))</f>
        <v/>
      </c>
      <c r="U1362" s="241"/>
      <c r="V1362" s="275" t="e">
        <f>IF(C1362="",NA(),MATCH($B1362&amp;$C1362,'Smelter Look-up'!$J:$J,0))</f>
        <v>#N/A</v>
      </c>
      <c r="W1362" s="276"/>
      <c r="X1362" s="276">
        <f t="shared" ca="1" si="193"/>
        <v>0</v>
      </c>
      <c r="Y1362" s="276"/>
      <c r="Z1362" s="276"/>
      <c r="AB1362" s="278" t="str">
        <f t="shared" si="194"/>
        <v/>
      </c>
    </row>
    <row r="1363" spans="1:28" s="277" customFormat="1" ht="20.25">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192"/>
        <v/>
      </c>
      <c r="T1363" s="225" t="str">
        <f ca="1">IF(B1363="","",IF(ISERROR(MATCH($J1363,SorP!$B$1:$B$6230,0)),"",INDIRECT("'SorP'!$A$"&amp;MATCH($J1363,SorP!$B$1:$B$6230,0))))</f>
        <v/>
      </c>
      <c r="U1363" s="241"/>
      <c r="V1363" s="275" t="e">
        <f>IF(C1363="",NA(),MATCH($B1363&amp;$C1363,'Smelter Look-up'!$J:$J,0))</f>
        <v>#N/A</v>
      </c>
      <c r="W1363" s="276"/>
      <c r="X1363" s="276">
        <f t="shared" ca="1" si="193"/>
        <v>0</v>
      </c>
      <c r="Y1363" s="276"/>
      <c r="Z1363" s="276"/>
      <c r="AB1363" s="278" t="str">
        <f t="shared" si="194"/>
        <v/>
      </c>
    </row>
    <row r="1364" spans="1:28" s="277" customFormat="1" ht="20.25">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192"/>
        <v/>
      </c>
      <c r="T1364" s="225" t="str">
        <f ca="1">IF(B1364="","",IF(ISERROR(MATCH($J1364,SorP!$B$1:$B$6230,0)),"",INDIRECT("'SorP'!$A$"&amp;MATCH($J1364,SorP!$B$1:$B$6230,0))))</f>
        <v/>
      </c>
      <c r="U1364" s="241"/>
      <c r="V1364" s="275" t="e">
        <f>IF(C1364="",NA(),MATCH($B1364&amp;$C1364,'Smelter Look-up'!$J:$J,0))</f>
        <v>#N/A</v>
      </c>
      <c r="W1364" s="276"/>
      <c r="X1364" s="276">
        <f t="shared" ca="1" si="193"/>
        <v>0</v>
      </c>
      <c r="Y1364" s="276"/>
      <c r="Z1364" s="276"/>
      <c r="AB1364" s="278" t="str">
        <f t="shared" si="194"/>
        <v/>
      </c>
    </row>
    <row r="1365" spans="1:28" s="277" customFormat="1" ht="20.25">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192"/>
        <v/>
      </c>
      <c r="T1365" s="225" t="str">
        <f ca="1">IF(B1365="","",IF(ISERROR(MATCH($J1365,SorP!$B$1:$B$6230,0)),"",INDIRECT("'SorP'!$A$"&amp;MATCH($J1365,SorP!$B$1:$B$6230,0))))</f>
        <v/>
      </c>
      <c r="U1365" s="241"/>
      <c r="V1365" s="275" t="e">
        <f>IF(C1365="",NA(),MATCH($B1365&amp;$C1365,'Smelter Look-up'!$J:$J,0))</f>
        <v>#N/A</v>
      </c>
      <c r="W1365" s="276"/>
      <c r="X1365" s="276">
        <f t="shared" ca="1" si="193"/>
        <v>0</v>
      </c>
      <c r="Y1365" s="276"/>
      <c r="Z1365" s="276"/>
      <c r="AB1365" s="278" t="str">
        <f t="shared" si="194"/>
        <v/>
      </c>
    </row>
    <row r="1366" spans="1:28" s="277" customFormat="1" ht="20.25">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192"/>
        <v/>
      </c>
      <c r="T1366" s="225" t="str">
        <f ca="1">IF(B1366="","",IF(ISERROR(MATCH($J1366,SorP!$B$1:$B$6230,0)),"",INDIRECT("'SorP'!$A$"&amp;MATCH($J1366,SorP!$B$1:$B$6230,0))))</f>
        <v/>
      </c>
      <c r="U1366" s="241"/>
      <c r="V1366" s="275" t="e">
        <f>IF(C1366="",NA(),MATCH($B1366&amp;$C1366,'Smelter Look-up'!$J:$J,0))</f>
        <v>#N/A</v>
      </c>
      <c r="W1366" s="276"/>
      <c r="X1366" s="276">
        <f t="shared" ca="1" si="193"/>
        <v>0</v>
      </c>
      <c r="Y1366" s="276"/>
      <c r="Z1366" s="276"/>
      <c r="AB1366" s="278" t="str">
        <f t="shared" si="194"/>
        <v/>
      </c>
    </row>
    <row r="1367" spans="1:28" s="277" customFormat="1" ht="20.25">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192"/>
        <v/>
      </c>
      <c r="T1367" s="225" t="str">
        <f ca="1">IF(B1367="","",IF(ISERROR(MATCH($J1367,SorP!$B$1:$B$6230,0)),"",INDIRECT("'SorP'!$A$"&amp;MATCH($J1367,SorP!$B$1:$B$6230,0))))</f>
        <v/>
      </c>
      <c r="U1367" s="241"/>
      <c r="V1367" s="275" t="e">
        <f>IF(C1367="",NA(),MATCH($B1367&amp;$C1367,'Smelter Look-up'!$J:$J,0))</f>
        <v>#N/A</v>
      </c>
      <c r="W1367" s="276"/>
      <c r="X1367" s="276">
        <f t="shared" ca="1" si="193"/>
        <v>0</v>
      </c>
      <c r="Y1367" s="276"/>
      <c r="Z1367" s="276"/>
      <c r="AB1367" s="278" t="str">
        <f t="shared" si="194"/>
        <v/>
      </c>
    </row>
    <row r="1368" spans="1:28" s="277" customFormat="1" ht="20.25">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192"/>
        <v/>
      </c>
      <c r="T1368" s="225" t="str">
        <f ca="1">IF(B1368="","",IF(ISERROR(MATCH($J1368,SorP!$B$1:$B$6230,0)),"",INDIRECT("'SorP'!$A$"&amp;MATCH($J1368,SorP!$B$1:$B$6230,0))))</f>
        <v/>
      </c>
      <c r="U1368" s="241"/>
      <c r="V1368" s="275" t="e">
        <f>IF(C1368="",NA(),MATCH($B1368&amp;$C1368,'Smelter Look-up'!$J:$J,0))</f>
        <v>#N/A</v>
      </c>
      <c r="W1368" s="276"/>
      <c r="X1368" s="276">
        <f t="shared" ca="1" si="193"/>
        <v>0</v>
      </c>
      <c r="Y1368" s="276"/>
      <c r="Z1368" s="276"/>
      <c r="AB1368" s="278" t="str">
        <f t="shared" si="194"/>
        <v/>
      </c>
    </row>
    <row r="1369" spans="1:28" s="277" customFormat="1" ht="20.25">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192"/>
        <v/>
      </c>
      <c r="T1369" s="225" t="str">
        <f ca="1">IF(B1369="","",IF(ISERROR(MATCH($J1369,SorP!$B$1:$B$6230,0)),"",INDIRECT("'SorP'!$A$"&amp;MATCH($J1369,SorP!$B$1:$B$6230,0))))</f>
        <v/>
      </c>
      <c r="U1369" s="241"/>
      <c r="V1369" s="275" t="e">
        <f>IF(C1369="",NA(),MATCH($B1369&amp;$C1369,'Smelter Look-up'!$J:$J,0))</f>
        <v>#N/A</v>
      </c>
      <c r="W1369" s="276"/>
      <c r="X1369" s="276">
        <f t="shared" ca="1" si="193"/>
        <v>0</v>
      </c>
      <c r="Y1369" s="276"/>
      <c r="Z1369" s="276"/>
      <c r="AB1369" s="278" t="str">
        <f t="shared" si="194"/>
        <v/>
      </c>
    </row>
    <row r="1370" spans="1:28" s="277" customFormat="1" ht="20.25">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192"/>
        <v/>
      </c>
      <c r="T1370" s="225" t="str">
        <f ca="1">IF(B1370="","",IF(ISERROR(MATCH($J1370,SorP!$B$1:$B$6230,0)),"",INDIRECT("'SorP'!$A$"&amp;MATCH($J1370,SorP!$B$1:$B$6230,0))))</f>
        <v/>
      </c>
      <c r="U1370" s="241"/>
      <c r="V1370" s="275" t="e">
        <f>IF(C1370="",NA(),MATCH($B1370&amp;$C1370,'Smelter Look-up'!$J:$J,0))</f>
        <v>#N/A</v>
      </c>
      <c r="W1370" s="276"/>
      <c r="X1370" s="276">
        <f t="shared" ca="1" si="193"/>
        <v>0</v>
      </c>
      <c r="Y1370" s="276"/>
      <c r="Z1370" s="276"/>
      <c r="AB1370" s="278" t="str">
        <f t="shared" si="194"/>
        <v/>
      </c>
    </row>
    <row r="1371" spans="1:28" s="277" customFormat="1" ht="20.25">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192"/>
        <v/>
      </c>
      <c r="T1371" s="225" t="str">
        <f ca="1">IF(B1371="","",IF(ISERROR(MATCH($J1371,SorP!$B$1:$B$6230,0)),"",INDIRECT("'SorP'!$A$"&amp;MATCH($J1371,SorP!$B$1:$B$6230,0))))</f>
        <v/>
      </c>
      <c r="U1371" s="241"/>
      <c r="V1371" s="275" t="e">
        <f>IF(C1371="",NA(),MATCH($B1371&amp;$C1371,'Smelter Look-up'!$J:$J,0))</f>
        <v>#N/A</v>
      </c>
      <c r="W1371" s="276"/>
      <c r="X1371" s="276">
        <f t="shared" ca="1" si="193"/>
        <v>0</v>
      </c>
      <c r="Y1371" s="276"/>
      <c r="Z1371" s="276"/>
      <c r="AB1371" s="278" t="str">
        <f t="shared" si="194"/>
        <v/>
      </c>
    </row>
    <row r="1372" spans="1:28" s="277" customFormat="1" ht="20.25">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ref="S1372:S1402" ca="1" si="195">IF(B1372="","",IF(ISERROR(MATCH($E1372,CL,0)),"Unknown",INDIRECT("'C'!$A$"&amp;MATCH($E1372,CL,0)+1)))</f>
        <v/>
      </c>
      <c r="T1372" s="225" t="str">
        <f ca="1">IF(B1372="","",IF(ISERROR(MATCH($J1372,SorP!$B$1:$B$6230,0)),"",INDIRECT("'SorP'!$A$"&amp;MATCH($J1372,SorP!$B$1:$B$6230,0))))</f>
        <v/>
      </c>
      <c r="U1372" s="241"/>
      <c r="V1372" s="275" t="e">
        <f>IF(C1372="",NA(),MATCH($B1372&amp;$C1372,'Smelter Look-up'!$J:$J,0))</f>
        <v>#N/A</v>
      </c>
      <c r="W1372" s="276"/>
      <c r="X1372" s="276">
        <f t="shared" ref="X1372:X1402" ca="1" si="196">IF(AND(C1372="Smelter not listed",OR(LEN(D1372)=0,LEN(E1372)=0)),1,0)</f>
        <v>0</v>
      </c>
      <c r="Y1372" s="276"/>
      <c r="Z1372" s="276"/>
      <c r="AB1372" s="278" t="str">
        <f t="shared" ref="AB1372:AB1402" si="197">B1372&amp;C1372</f>
        <v/>
      </c>
    </row>
    <row r="1373" spans="1:28" s="277" customFormat="1" ht="20.25">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195"/>
        <v/>
      </c>
      <c r="T1373" s="225" t="str">
        <f ca="1">IF(B1373="","",IF(ISERROR(MATCH($J1373,SorP!$B$1:$B$6230,0)),"",INDIRECT("'SorP'!$A$"&amp;MATCH($J1373,SorP!$B$1:$B$6230,0))))</f>
        <v/>
      </c>
      <c r="U1373" s="241"/>
      <c r="V1373" s="275" t="e">
        <f>IF(C1373="",NA(),MATCH($B1373&amp;$C1373,'Smelter Look-up'!$J:$J,0))</f>
        <v>#N/A</v>
      </c>
      <c r="W1373" s="276"/>
      <c r="X1373" s="276">
        <f t="shared" ca="1" si="196"/>
        <v>0</v>
      </c>
      <c r="Y1373" s="276"/>
      <c r="Z1373" s="276"/>
      <c r="AB1373" s="278" t="str">
        <f t="shared" si="197"/>
        <v/>
      </c>
    </row>
    <row r="1374" spans="1:28" s="277" customFormat="1" ht="20.25">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195"/>
        <v/>
      </c>
      <c r="T1374" s="225" t="str">
        <f ca="1">IF(B1374="","",IF(ISERROR(MATCH($J1374,SorP!$B$1:$B$6230,0)),"",INDIRECT("'SorP'!$A$"&amp;MATCH($J1374,SorP!$B$1:$B$6230,0))))</f>
        <v/>
      </c>
      <c r="U1374" s="241"/>
      <c r="V1374" s="275" t="e">
        <f>IF(C1374="",NA(),MATCH($B1374&amp;$C1374,'Smelter Look-up'!$J:$J,0))</f>
        <v>#N/A</v>
      </c>
      <c r="W1374" s="276"/>
      <c r="X1374" s="276">
        <f t="shared" ca="1" si="196"/>
        <v>0</v>
      </c>
      <c r="Y1374" s="276"/>
      <c r="Z1374" s="276"/>
      <c r="AB1374" s="278" t="str">
        <f t="shared" si="197"/>
        <v/>
      </c>
    </row>
    <row r="1375" spans="1:28" s="277" customFormat="1" ht="20.25">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195"/>
        <v/>
      </c>
      <c r="T1375" s="225" t="str">
        <f ca="1">IF(B1375="","",IF(ISERROR(MATCH($J1375,SorP!$B$1:$B$6230,0)),"",INDIRECT("'SorP'!$A$"&amp;MATCH($J1375,SorP!$B$1:$B$6230,0))))</f>
        <v/>
      </c>
      <c r="U1375" s="241"/>
      <c r="V1375" s="275" t="e">
        <f>IF(C1375="",NA(),MATCH($B1375&amp;$C1375,'Smelter Look-up'!$J:$J,0))</f>
        <v>#N/A</v>
      </c>
      <c r="W1375" s="276"/>
      <c r="X1375" s="276">
        <f t="shared" ca="1" si="196"/>
        <v>0</v>
      </c>
      <c r="Y1375" s="276"/>
      <c r="Z1375" s="276"/>
      <c r="AB1375" s="278" t="str">
        <f t="shared" si="197"/>
        <v/>
      </c>
    </row>
    <row r="1376" spans="1:28" s="277" customFormat="1" ht="20.25">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195"/>
        <v/>
      </c>
      <c r="T1376" s="225" t="str">
        <f ca="1">IF(B1376="","",IF(ISERROR(MATCH($J1376,SorP!$B$1:$B$6230,0)),"",INDIRECT("'SorP'!$A$"&amp;MATCH($J1376,SorP!$B$1:$B$6230,0))))</f>
        <v/>
      </c>
      <c r="U1376" s="241"/>
      <c r="V1376" s="275" t="e">
        <f>IF(C1376="",NA(),MATCH($B1376&amp;$C1376,'Smelter Look-up'!$J:$J,0))</f>
        <v>#N/A</v>
      </c>
      <c r="W1376" s="276"/>
      <c r="X1376" s="276">
        <f t="shared" ca="1" si="196"/>
        <v>0</v>
      </c>
      <c r="Y1376" s="276"/>
      <c r="Z1376" s="276"/>
      <c r="AB1376" s="278" t="str">
        <f t="shared" si="197"/>
        <v/>
      </c>
    </row>
    <row r="1377" spans="1:28" s="277" customFormat="1" ht="20.25">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195"/>
        <v/>
      </c>
      <c r="T1377" s="225" t="str">
        <f ca="1">IF(B1377="","",IF(ISERROR(MATCH($J1377,SorP!$B$1:$B$6230,0)),"",INDIRECT("'SorP'!$A$"&amp;MATCH($J1377,SorP!$B$1:$B$6230,0))))</f>
        <v/>
      </c>
      <c r="U1377" s="241"/>
      <c r="V1377" s="275" t="e">
        <f>IF(C1377="",NA(),MATCH($B1377&amp;$C1377,'Smelter Look-up'!$J:$J,0))</f>
        <v>#N/A</v>
      </c>
      <c r="W1377" s="276"/>
      <c r="X1377" s="276">
        <f t="shared" ca="1" si="196"/>
        <v>0</v>
      </c>
      <c r="Y1377" s="276"/>
      <c r="Z1377" s="276"/>
      <c r="AB1377" s="278" t="str">
        <f t="shared" si="197"/>
        <v/>
      </c>
    </row>
    <row r="1378" spans="1:28" s="277" customFormat="1" ht="20.25">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195"/>
        <v/>
      </c>
      <c r="T1378" s="225" t="str">
        <f ca="1">IF(B1378="","",IF(ISERROR(MATCH($J1378,SorP!$B$1:$B$6230,0)),"",INDIRECT("'SorP'!$A$"&amp;MATCH($J1378,SorP!$B$1:$B$6230,0))))</f>
        <v/>
      </c>
      <c r="U1378" s="241"/>
      <c r="V1378" s="275" t="e">
        <f>IF(C1378="",NA(),MATCH($B1378&amp;$C1378,'Smelter Look-up'!$J:$J,0))</f>
        <v>#N/A</v>
      </c>
      <c r="W1378" s="276"/>
      <c r="X1378" s="276">
        <f t="shared" ca="1" si="196"/>
        <v>0</v>
      </c>
      <c r="Y1378" s="276"/>
      <c r="Z1378" s="276"/>
      <c r="AB1378" s="278" t="str">
        <f t="shared" si="197"/>
        <v/>
      </c>
    </row>
    <row r="1379" spans="1:28" s="277" customFormat="1" ht="20.25">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195"/>
        <v/>
      </c>
      <c r="T1379" s="225" t="str">
        <f ca="1">IF(B1379="","",IF(ISERROR(MATCH($J1379,SorP!$B$1:$B$6230,0)),"",INDIRECT("'SorP'!$A$"&amp;MATCH($J1379,SorP!$B$1:$B$6230,0))))</f>
        <v/>
      </c>
      <c r="U1379" s="241"/>
      <c r="V1379" s="275" t="e">
        <f>IF(C1379="",NA(),MATCH($B1379&amp;$C1379,'Smelter Look-up'!$J:$J,0))</f>
        <v>#N/A</v>
      </c>
      <c r="W1379" s="276"/>
      <c r="X1379" s="276">
        <f t="shared" ca="1" si="196"/>
        <v>0</v>
      </c>
      <c r="Y1379" s="276"/>
      <c r="Z1379" s="276"/>
      <c r="AB1379" s="278" t="str">
        <f t="shared" si="197"/>
        <v/>
      </c>
    </row>
    <row r="1380" spans="1:28" s="277" customFormat="1" ht="20.25">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195"/>
        <v/>
      </c>
      <c r="T1380" s="225" t="str">
        <f ca="1">IF(B1380="","",IF(ISERROR(MATCH($J1380,SorP!$B$1:$B$6230,0)),"",INDIRECT("'SorP'!$A$"&amp;MATCH($J1380,SorP!$B$1:$B$6230,0))))</f>
        <v/>
      </c>
      <c r="U1380" s="241"/>
      <c r="V1380" s="275" t="e">
        <f>IF(C1380="",NA(),MATCH($B1380&amp;$C1380,'Smelter Look-up'!$J:$J,0))</f>
        <v>#N/A</v>
      </c>
      <c r="W1380" s="276"/>
      <c r="X1380" s="276">
        <f t="shared" ca="1" si="196"/>
        <v>0</v>
      </c>
      <c r="Y1380" s="276"/>
      <c r="Z1380" s="276"/>
      <c r="AB1380" s="278" t="str">
        <f t="shared" si="197"/>
        <v/>
      </c>
    </row>
    <row r="1381" spans="1:28" s="277" customFormat="1" ht="20.25">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195"/>
        <v/>
      </c>
      <c r="T1381" s="225" t="str">
        <f ca="1">IF(B1381="","",IF(ISERROR(MATCH($J1381,SorP!$B$1:$B$6230,0)),"",INDIRECT("'SorP'!$A$"&amp;MATCH($J1381,SorP!$B$1:$B$6230,0))))</f>
        <v/>
      </c>
      <c r="U1381" s="241"/>
      <c r="V1381" s="275" t="e">
        <f>IF(C1381="",NA(),MATCH($B1381&amp;$C1381,'Smelter Look-up'!$J:$J,0))</f>
        <v>#N/A</v>
      </c>
      <c r="W1381" s="276"/>
      <c r="X1381" s="276">
        <f t="shared" ca="1" si="196"/>
        <v>0</v>
      </c>
      <c r="Y1381" s="276"/>
      <c r="Z1381" s="276"/>
      <c r="AB1381" s="278" t="str">
        <f t="shared" si="197"/>
        <v/>
      </c>
    </row>
    <row r="1382" spans="1:28" s="277" customFormat="1" ht="20.25">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195"/>
        <v/>
      </c>
      <c r="T1382" s="225" t="str">
        <f ca="1">IF(B1382="","",IF(ISERROR(MATCH($J1382,SorP!$B$1:$B$6230,0)),"",INDIRECT("'SorP'!$A$"&amp;MATCH($J1382,SorP!$B$1:$B$6230,0))))</f>
        <v/>
      </c>
      <c r="U1382" s="241"/>
      <c r="V1382" s="275" t="e">
        <f>IF(C1382="",NA(),MATCH($B1382&amp;$C1382,'Smelter Look-up'!$J:$J,0))</f>
        <v>#N/A</v>
      </c>
      <c r="W1382" s="276"/>
      <c r="X1382" s="276">
        <f t="shared" ca="1" si="196"/>
        <v>0</v>
      </c>
      <c r="Y1382" s="276"/>
      <c r="Z1382" s="276"/>
      <c r="AB1382" s="278" t="str">
        <f t="shared" si="197"/>
        <v/>
      </c>
    </row>
    <row r="1383" spans="1:28" s="277" customFormat="1" ht="20.25">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195"/>
        <v/>
      </c>
      <c r="T1383" s="225" t="str">
        <f ca="1">IF(B1383="","",IF(ISERROR(MATCH($J1383,SorP!$B$1:$B$6230,0)),"",INDIRECT("'SorP'!$A$"&amp;MATCH($J1383,SorP!$B$1:$B$6230,0))))</f>
        <v/>
      </c>
      <c r="U1383" s="241"/>
      <c r="V1383" s="275" t="e">
        <f>IF(C1383="",NA(),MATCH($B1383&amp;$C1383,'Smelter Look-up'!$J:$J,0))</f>
        <v>#N/A</v>
      </c>
      <c r="W1383" s="276"/>
      <c r="X1383" s="276">
        <f t="shared" ca="1" si="196"/>
        <v>0</v>
      </c>
      <c r="Y1383" s="276"/>
      <c r="Z1383" s="276"/>
      <c r="AB1383" s="278" t="str">
        <f t="shared" si="197"/>
        <v/>
      </c>
    </row>
    <row r="1384" spans="1:28" s="277" customFormat="1" ht="20.25">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195"/>
        <v/>
      </c>
      <c r="T1384" s="225" t="str">
        <f ca="1">IF(B1384="","",IF(ISERROR(MATCH($J1384,SorP!$B$1:$B$6230,0)),"",INDIRECT("'SorP'!$A$"&amp;MATCH($J1384,SorP!$B$1:$B$6230,0))))</f>
        <v/>
      </c>
      <c r="U1384" s="241"/>
      <c r="V1384" s="275" t="e">
        <f>IF(C1384="",NA(),MATCH($B1384&amp;$C1384,'Smelter Look-up'!$J:$J,0))</f>
        <v>#N/A</v>
      </c>
      <c r="W1384" s="276"/>
      <c r="X1384" s="276">
        <f t="shared" ca="1" si="196"/>
        <v>0</v>
      </c>
      <c r="Y1384" s="276"/>
      <c r="Z1384" s="276"/>
      <c r="AB1384" s="278" t="str">
        <f t="shared" si="197"/>
        <v/>
      </c>
    </row>
    <row r="1385" spans="1:28" s="277" customFormat="1" ht="20.25">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195"/>
        <v/>
      </c>
      <c r="T1385" s="225" t="str">
        <f ca="1">IF(B1385="","",IF(ISERROR(MATCH($J1385,SorP!$B$1:$B$6230,0)),"",INDIRECT("'SorP'!$A$"&amp;MATCH($J1385,SorP!$B$1:$B$6230,0))))</f>
        <v/>
      </c>
      <c r="U1385" s="241"/>
      <c r="V1385" s="275" t="e">
        <f>IF(C1385="",NA(),MATCH($B1385&amp;$C1385,'Smelter Look-up'!$J:$J,0))</f>
        <v>#N/A</v>
      </c>
      <c r="W1385" s="276"/>
      <c r="X1385" s="276">
        <f t="shared" ca="1" si="196"/>
        <v>0</v>
      </c>
      <c r="Y1385" s="276"/>
      <c r="Z1385" s="276"/>
      <c r="AB1385" s="278" t="str">
        <f t="shared" si="197"/>
        <v/>
      </c>
    </row>
    <row r="1386" spans="1:28" s="277" customFormat="1" ht="20.25">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195"/>
        <v/>
      </c>
      <c r="T1386" s="225" t="str">
        <f ca="1">IF(B1386="","",IF(ISERROR(MATCH($J1386,SorP!$B$1:$B$6230,0)),"",INDIRECT("'SorP'!$A$"&amp;MATCH($J1386,SorP!$B$1:$B$6230,0))))</f>
        <v/>
      </c>
      <c r="U1386" s="241"/>
      <c r="V1386" s="275" t="e">
        <f>IF(C1386="",NA(),MATCH($B1386&amp;$C1386,'Smelter Look-up'!$J:$J,0))</f>
        <v>#N/A</v>
      </c>
      <c r="W1386" s="276"/>
      <c r="X1386" s="276">
        <f t="shared" ca="1" si="196"/>
        <v>0</v>
      </c>
      <c r="Y1386" s="276"/>
      <c r="Z1386" s="276"/>
      <c r="AB1386" s="278" t="str">
        <f t="shared" si="197"/>
        <v/>
      </c>
    </row>
    <row r="1387" spans="1:28" s="277" customFormat="1" ht="20.25">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195"/>
        <v/>
      </c>
      <c r="T1387" s="225" t="str">
        <f ca="1">IF(B1387="","",IF(ISERROR(MATCH($J1387,SorP!$B$1:$B$6230,0)),"",INDIRECT("'SorP'!$A$"&amp;MATCH($J1387,SorP!$B$1:$B$6230,0))))</f>
        <v/>
      </c>
      <c r="U1387" s="241"/>
      <c r="V1387" s="275" t="e">
        <f>IF(C1387="",NA(),MATCH($B1387&amp;$C1387,'Smelter Look-up'!$J:$J,0))</f>
        <v>#N/A</v>
      </c>
      <c r="W1387" s="276"/>
      <c r="X1387" s="276">
        <f t="shared" ca="1" si="196"/>
        <v>0</v>
      </c>
      <c r="Y1387" s="276"/>
      <c r="Z1387" s="276"/>
      <c r="AB1387" s="278" t="str">
        <f t="shared" si="197"/>
        <v/>
      </c>
    </row>
    <row r="1388" spans="1:28" s="277" customFormat="1" ht="20.25">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195"/>
        <v/>
      </c>
      <c r="T1388" s="225" t="str">
        <f ca="1">IF(B1388="","",IF(ISERROR(MATCH($J1388,SorP!$B$1:$B$6230,0)),"",INDIRECT("'SorP'!$A$"&amp;MATCH($J1388,SorP!$B$1:$B$6230,0))))</f>
        <v/>
      </c>
      <c r="U1388" s="241"/>
      <c r="V1388" s="275" t="e">
        <f>IF(C1388="",NA(),MATCH($B1388&amp;$C1388,'Smelter Look-up'!$J:$J,0))</f>
        <v>#N/A</v>
      </c>
      <c r="W1388" s="276"/>
      <c r="X1388" s="276">
        <f t="shared" ca="1" si="196"/>
        <v>0</v>
      </c>
      <c r="Y1388" s="276"/>
      <c r="Z1388" s="276"/>
      <c r="AB1388" s="278" t="str">
        <f t="shared" si="197"/>
        <v/>
      </c>
    </row>
    <row r="1389" spans="1:28" s="277" customFormat="1" ht="20.25">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195"/>
        <v/>
      </c>
      <c r="T1389" s="225" t="str">
        <f ca="1">IF(B1389="","",IF(ISERROR(MATCH($J1389,SorP!$B$1:$B$6230,0)),"",INDIRECT("'SorP'!$A$"&amp;MATCH($J1389,SorP!$B$1:$B$6230,0))))</f>
        <v/>
      </c>
      <c r="U1389" s="241"/>
      <c r="V1389" s="275" t="e">
        <f>IF(C1389="",NA(),MATCH($B1389&amp;$C1389,'Smelter Look-up'!$J:$J,0))</f>
        <v>#N/A</v>
      </c>
      <c r="W1389" s="276"/>
      <c r="X1389" s="276">
        <f t="shared" ca="1" si="196"/>
        <v>0</v>
      </c>
      <c r="Y1389" s="276"/>
      <c r="Z1389" s="276"/>
      <c r="AB1389" s="278" t="str">
        <f t="shared" si="197"/>
        <v/>
      </c>
    </row>
    <row r="1390" spans="1:28" s="277" customFormat="1" ht="20.25">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195"/>
        <v/>
      </c>
      <c r="T1390" s="225" t="str">
        <f ca="1">IF(B1390="","",IF(ISERROR(MATCH($J1390,SorP!$B$1:$B$6230,0)),"",INDIRECT("'SorP'!$A$"&amp;MATCH($J1390,SorP!$B$1:$B$6230,0))))</f>
        <v/>
      </c>
      <c r="U1390" s="241"/>
      <c r="V1390" s="275" t="e">
        <f>IF(C1390="",NA(),MATCH($B1390&amp;$C1390,'Smelter Look-up'!$J:$J,0))</f>
        <v>#N/A</v>
      </c>
      <c r="W1390" s="276"/>
      <c r="X1390" s="276">
        <f t="shared" ca="1" si="196"/>
        <v>0</v>
      </c>
      <c r="Y1390" s="276"/>
      <c r="Z1390" s="276"/>
      <c r="AB1390" s="278" t="str">
        <f t="shared" si="197"/>
        <v/>
      </c>
    </row>
    <row r="1391" spans="1:28" s="277" customFormat="1" ht="20.25">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195"/>
        <v/>
      </c>
      <c r="T1391" s="225" t="str">
        <f ca="1">IF(B1391="","",IF(ISERROR(MATCH($J1391,SorP!$B$1:$B$6230,0)),"",INDIRECT("'SorP'!$A$"&amp;MATCH($J1391,SorP!$B$1:$B$6230,0))))</f>
        <v/>
      </c>
      <c r="U1391" s="241"/>
      <c r="V1391" s="275" t="e">
        <f>IF(C1391="",NA(),MATCH($B1391&amp;$C1391,'Smelter Look-up'!$J:$J,0))</f>
        <v>#N/A</v>
      </c>
      <c r="W1391" s="276"/>
      <c r="X1391" s="276">
        <f t="shared" ca="1" si="196"/>
        <v>0</v>
      </c>
      <c r="Y1391" s="276"/>
      <c r="Z1391" s="276"/>
      <c r="AB1391" s="278" t="str">
        <f t="shared" si="197"/>
        <v/>
      </c>
    </row>
    <row r="1392" spans="1:28" s="277" customFormat="1" ht="20.25">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195"/>
        <v/>
      </c>
      <c r="T1392" s="225" t="str">
        <f ca="1">IF(B1392="","",IF(ISERROR(MATCH($J1392,SorP!$B$1:$B$6230,0)),"",INDIRECT("'SorP'!$A$"&amp;MATCH($J1392,SorP!$B$1:$B$6230,0))))</f>
        <v/>
      </c>
      <c r="U1392" s="241"/>
      <c r="V1392" s="275" t="e">
        <f>IF(C1392="",NA(),MATCH($B1392&amp;$C1392,'Smelter Look-up'!$J:$J,0))</f>
        <v>#N/A</v>
      </c>
      <c r="W1392" s="276"/>
      <c r="X1392" s="276">
        <f t="shared" ca="1" si="196"/>
        <v>0</v>
      </c>
      <c r="Y1392" s="276"/>
      <c r="Z1392" s="276"/>
      <c r="AB1392" s="278" t="str">
        <f t="shared" si="197"/>
        <v/>
      </c>
    </row>
    <row r="1393" spans="1:28" s="277" customFormat="1" ht="20.25">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195"/>
        <v/>
      </c>
      <c r="T1393" s="225" t="str">
        <f ca="1">IF(B1393="","",IF(ISERROR(MATCH($J1393,SorP!$B$1:$B$6230,0)),"",INDIRECT("'SorP'!$A$"&amp;MATCH($J1393,SorP!$B$1:$B$6230,0))))</f>
        <v/>
      </c>
      <c r="U1393" s="241"/>
      <c r="V1393" s="275" t="e">
        <f>IF(C1393="",NA(),MATCH($B1393&amp;$C1393,'Smelter Look-up'!$J:$J,0))</f>
        <v>#N/A</v>
      </c>
      <c r="W1393" s="276"/>
      <c r="X1393" s="276">
        <f t="shared" ca="1" si="196"/>
        <v>0</v>
      </c>
      <c r="Y1393" s="276"/>
      <c r="Z1393" s="276"/>
      <c r="AB1393" s="278" t="str">
        <f t="shared" si="197"/>
        <v/>
      </c>
    </row>
    <row r="1394" spans="1:28" s="277" customFormat="1" ht="20.25">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195"/>
        <v/>
      </c>
      <c r="T1394" s="225" t="str">
        <f ca="1">IF(B1394="","",IF(ISERROR(MATCH($J1394,SorP!$B$1:$B$6230,0)),"",INDIRECT("'SorP'!$A$"&amp;MATCH($J1394,SorP!$B$1:$B$6230,0))))</f>
        <v/>
      </c>
      <c r="U1394" s="241"/>
      <c r="V1394" s="275" t="e">
        <f>IF(C1394="",NA(),MATCH($B1394&amp;$C1394,'Smelter Look-up'!$J:$J,0))</f>
        <v>#N/A</v>
      </c>
      <c r="W1394" s="276"/>
      <c r="X1394" s="276">
        <f t="shared" ca="1" si="196"/>
        <v>0</v>
      </c>
      <c r="Y1394" s="276"/>
      <c r="Z1394" s="276"/>
      <c r="AB1394" s="278" t="str">
        <f t="shared" si="197"/>
        <v/>
      </c>
    </row>
    <row r="1395" spans="1:28" s="277" customFormat="1" ht="20.25">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195"/>
        <v/>
      </c>
      <c r="T1395" s="225" t="str">
        <f ca="1">IF(B1395="","",IF(ISERROR(MATCH($J1395,SorP!$B$1:$B$6230,0)),"",INDIRECT("'SorP'!$A$"&amp;MATCH($J1395,SorP!$B$1:$B$6230,0))))</f>
        <v/>
      </c>
      <c r="U1395" s="241"/>
      <c r="V1395" s="275" t="e">
        <f>IF(C1395="",NA(),MATCH($B1395&amp;$C1395,'Smelter Look-up'!$J:$J,0))</f>
        <v>#N/A</v>
      </c>
      <c r="W1395" s="276"/>
      <c r="X1395" s="276">
        <f t="shared" ca="1" si="196"/>
        <v>0</v>
      </c>
      <c r="Y1395" s="276"/>
      <c r="Z1395" s="276"/>
      <c r="AB1395" s="278" t="str">
        <f t="shared" si="197"/>
        <v/>
      </c>
    </row>
    <row r="1396" spans="1:28" s="277" customFormat="1" ht="20.25">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195"/>
        <v/>
      </c>
      <c r="T1396" s="225" t="str">
        <f ca="1">IF(B1396="","",IF(ISERROR(MATCH($J1396,SorP!$B$1:$B$6230,0)),"",INDIRECT("'SorP'!$A$"&amp;MATCH($J1396,SorP!$B$1:$B$6230,0))))</f>
        <v/>
      </c>
      <c r="U1396" s="241"/>
      <c r="V1396" s="275" t="e">
        <f>IF(C1396="",NA(),MATCH($B1396&amp;$C1396,'Smelter Look-up'!$J:$J,0))</f>
        <v>#N/A</v>
      </c>
      <c r="W1396" s="276"/>
      <c r="X1396" s="276">
        <f t="shared" ca="1" si="196"/>
        <v>0</v>
      </c>
      <c r="Y1396" s="276"/>
      <c r="Z1396" s="276"/>
      <c r="AB1396" s="278" t="str">
        <f t="shared" si="197"/>
        <v/>
      </c>
    </row>
    <row r="1397" spans="1:28" s="277" customFormat="1" ht="20.25">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195"/>
        <v/>
      </c>
      <c r="T1397" s="225" t="str">
        <f ca="1">IF(B1397="","",IF(ISERROR(MATCH($J1397,SorP!$B$1:$B$6230,0)),"",INDIRECT("'SorP'!$A$"&amp;MATCH($J1397,SorP!$B$1:$B$6230,0))))</f>
        <v/>
      </c>
      <c r="U1397" s="241"/>
      <c r="V1397" s="275" t="e">
        <f>IF(C1397="",NA(),MATCH($B1397&amp;$C1397,'Smelter Look-up'!$J:$J,0))</f>
        <v>#N/A</v>
      </c>
      <c r="W1397" s="276"/>
      <c r="X1397" s="276">
        <f t="shared" ca="1" si="196"/>
        <v>0</v>
      </c>
      <c r="Y1397" s="276"/>
      <c r="Z1397" s="276"/>
      <c r="AB1397" s="278" t="str">
        <f t="shared" si="197"/>
        <v/>
      </c>
    </row>
    <row r="1398" spans="1:28" s="277" customFormat="1" ht="20.25">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195"/>
        <v/>
      </c>
      <c r="T1398" s="225" t="str">
        <f ca="1">IF(B1398="","",IF(ISERROR(MATCH($J1398,SorP!$B$1:$B$6230,0)),"",INDIRECT("'SorP'!$A$"&amp;MATCH($J1398,SorP!$B$1:$B$6230,0))))</f>
        <v/>
      </c>
      <c r="U1398" s="241"/>
      <c r="V1398" s="275" t="e">
        <f>IF(C1398="",NA(),MATCH($B1398&amp;$C1398,'Smelter Look-up'!$J:$J,0))</f>
        <v>#N/A</v>
      </c>
      <c r="W1398" s="276"/>
      <c r="X1398" s="276">
        <f t="shared" ca="1" si="196"/>
        <v>0</v>
      </c>
      <c r="Y1398" s="276"/>
      <c r="Z1398" s="276"/>
      <c r="AB1398" s="278" t="str">
        <f t="shared" si="197"/>
        <v/>
      </c>
    </row>
    <row r="1399" spans="1:28" s="277" customFormat="1" ht="20.25">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195"/>
        <v/>
      </c>
      <c r="T1399" s="225" t="str">
        <f ca="1">IF(B1399="","",IF(ISERROR(MATCH($J1399,SorP!$B$1:$B$6230,0)),"",INDIRECT("'SorP'!$A$"&amp;MATCH($J1399,SorP!$B$1:$B$6230,0))))</f>
        <v/>
      </c>
      <c r="U1399" s="241"/>
      <c r="V1399" s="275" t="e">
        <f>IF(C1399="",NA(),MATCH($B1399&amp;$C1399,'Smelter Look-up'!$J:$J,0))</f>
        <v>#N/A</v>
      </c>
      <c r="W1399" s="276"/>
      <c r="X1399" s="276">
        <f t="shared" ca="1" si="196"/>
        <v>0</v>
      </c>
      <c r="Y1399" s="276"/>
      <c r="Z1399" s="276"/>
      <c r="AB1399" s="278" t="str">
        <f t="shared" si="197"/>
        <v/>
      </c>
    </row>
    <row r="1400" spans="1:28" s="277" customFormat="1" ht="20.25">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195"/>
        <v/>
      </c>
      <c r="T1400" s="225" t="str">
        <f ca="1">IF(B1400="","",IF(ISERROR(MATCH($J1400,SorP!$B$1:$B$6230,0)),"",INDIRECT("'SorP'!$A$"&amp;MATCH($J1400,SorP!$B$1:$B$6230,0))))</f>
        <v/>
      </c>
      <c r="U1400" s="241"/>
      <c r="V1400" s="275" t="e">
        <f>IF(C1400="",NA(),MATCH($B1400&amp;$C1400,'Smelter Look-up'!$J:$J,0))</f>
        <v>#N/A</v>
      </c>
      <c r="W1400" s="276"/>
      <c r="X1400" s="276">
        <f t="shared" ca="1" si="196"/>
        <v>0</v>
      </c>
      <c r="Y1400" s="276"/>
      <c r="Z1400" s="276"/>
      <c r="AB1400" s="278" t="str">
        <f t="shared" si="197"/>
        <v/>
      </c>
    </row>
    <row r="1401" spans="1:28" s="277" customFormat="1" ht="20.25">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195"/>
        <v/>
      </c>
      <c r="T1401" s="225" t="str">
        <f ca="1">IF(B1401="","",IF(ISERROR(MATCH($J1401,SorP!$B$1:$B$6230,0)),"",INDIRECT("'SorP'!$A$"&amp;MATCH($J1401,SorP!$B$1:$B$6230,0))))</f>
        <v/>
      </c>
      <c r="U1401" s="241"/>
      <c r="V1401" s="275" t="e">
        <f>IF(C1401="",NA(),MATCH($B1401&amp;$C1401,'Smelter Look-up'!$J:$J,0))</f>
        <v>#N/A</v>
      </c>
      <c r="W1401" s="276"/>
      <c r="X1401" s="276">
        <f t="shared" ca="1" si="196"/>
        <v>0</v>
      </c>
      <c r="Y1401" s="276"/>
      <c r="Z1401" s="276"/>
      <c r="AB1401" s="278" t="str">
        <f t="shared" si="197"/>
        <v/>
      </c>
    </row>
    <row r="1402" spans="1:28" s="277" customFormat="1" ht="20.25">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195"/>
        <v/>
      </c>
      <c r="T1402" s="225" t="str">
        <f ca="1">IF(B1402="","",IF(ISERROR(MATCH($J1402,SorP!$B$1:$B$6230,0)),"",INDIRECT("'SorP'!$A$"&amp;MATCH($J1402,SorP!$B$1:$B$6230,0))))</f>
        <v/>
      </c>
      <c r="U1402" s="241"/>
      <c r="V1402" s="275" t="e">
        <f>IF(C1402="",NA(),MATCH($B1402&amp;$C1402,'Smelter Look-up'!$J:$J,0))</f>
        <v>#N/A</v>
      </c>
      <c r="W1402" s="276"/>
      <c r="X1402" s="276">
        <f t="shared" ca="1" si="196"/>
        <v>0</v>
      </c>
      <c r="Y1402" s="276"/>
      <c r="Z1402" s="276"/>
      <c r="AB1402" s="278" t="str">
        <f t="shared" si="197"/>
        <v/>
      </c>
    </row>
    <row r="1403" spans="1:28" s="277" customFormat="1" ht="20.25">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ref="S1403" ca="1" si="198">IF(B1403="","",IF(ISERROR(MATCH($E1403,CL,0)),"Unknown",INDIRECT("'C'!$A$"&amp;MATCH($E1403,CL,0)+1)))</f>
        <v/>
      </c>
      <c r="T1403" s="225" t="str">
        <f ca="1">IF(B1403="","",IF(ISERROR(MATCH($J1403,SorP!$B$1:$B$6230,0)),"",INDIRECT("'SorP'!$A$"&amp;MATCH($J1403,SorP!$B$1:$B$6230,0))))</f>
        <v/>
      </c>
      <c r="U1403" s="241"/>
      <c r="V1403" s="275" t="e">
        <f>IF(C1403="",NA(),MATCH($B1403&amp;$C1403,'Smelter Look-up'!$J:$J,0))</f>
        <v>#N/A</v>
      </c>
      <c r="W1403" s="276"/>
      <c r="X1403" s="276">
        <f t="shared" ref="X1403" ca="1" si="199">IF(AND(C1403="Smelter not listed",OR(LEN(D1403)=0,LEN(E1403)=0)),1,0)</f>
        <v>0</v>
      </c>
      <c r="Y1403" s="276"/>
      <c r="Z1403" s="276"/>
      <c r="AB1403" s="278" t="str">
        <f t="shared" ref="AB1403" si="200">B1403&amp;C1403</f>
        <v/>
      </c>
    </row>
    <row r="1404" spans="1:28" s="277" customFormat="1" ht="20.25">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ref="S1404:S1435" ca="1" si="201">IF(B1404="","",IF(ISERROR(MATCH($E1404,CL,0)),"Unknown",INDIRECT("'C'!$A$"&amp;MATCH($E1404,CL,0)+1)))</f>
        <v/>
      </c>
      <c r="T1404" s="225" t="str">
        <f ca="1">IF(B1404="","",IF(ISERROR(MATCH($J1404,SorP!$B$1:$B$6230,0)),"",INDIRECT("'SorP'!$A$"&amp;MATCH($J1404,SorP!$B$1:$B$6230,0))))</f>
        <v/>
      </c>
      <c r="U1404" s="241"/>
      <c r="V1404" s="275" t="e">
        <f>IF(C1404="",NA(),MATCH($B1404&amp;$C1404,'Smelter Look-up'!$J:$J,0))</f>
        <v>#N/A</v>
      </c>
      <c r="W1404" s="276"/>
      <c r="X1404" s="276">
        <f t="shared" ref="X1404:X1435" ca="1" si="202">IF(AND(C1404="Smelter not listed",OR(LEN(D1404)=0,LEN(E1404)=0)),1,0)</f>
        <v>0</v>
      </c>
      <c r="Y1404" s="276"/>
      <c r="Z1404" s="276"/>
      <c r="AB1404" s="278" t="str">
        <f t="shared" ref="AB1404:AB1435" si="203">B1404&amp;C1404</f>
        <v/>
      </c>
    </row>
    <row r="1405" spans="1:28" s="277" customFormat="1" ht="20.25">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201"/>
        <v/>
      </c>
      <c r="T1405" s="225" t="str">
        <f ca="1">IF(B1405="","",IF(ISERROR(MATCH($J1405,SorP!$B$1:$B$6230,0)),"",INDIRECT("'SorP'!$A$"&amp;MATCH($J1405,SorP!$B$1:$B$6230,0))))</f>
        <v/>
      </c>
      <c r="U1405" s="241"/>
      <c r="V1405" s="275" t="e">
        <f>IF(C1405="",NA(),MATCH($B1405&amp;$C1405,'Smelter Look-up'!$J:$J,0))</f>
        <v>#N/A</v>
      </c>
      <c r="W1405" s="276"/>
      <c r="X1405" s="276">
        <f t="shared" ca="1" si="202"/>
        <v>0</v>
      </c>
      <c r="Y1405" s="276"/>
      <c r="Z1405" s="276"/>
      <c r="AB1405" s="278" t="str">
        <f t="shared" si="203"/>
        <v/>
      </c>
    </row>
    <row r="1406" spans="1:28" s="277" customFormat="1" ht="20.25">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201"/>
        <v/>
      </c>
      <c r="T1406" s="225" t="str">
        <f ca="1">IF(B1406="","",IF(ISERROR(MATCH($J1406,SorP!$B$1:$B$6230,0)),"",INDIRECT("'SorP'!$A$"&amp;MATCH($J1406,SorP!$B$1:$B$6230,0))))</f>
        <v/>
      </c>
      <c r="U1406" s="241"/>
      <c r="V1406" s="275" t="e">
        <f>IF(C1406="",NA(),MATCH($B1406&amp;$C1406,'Smelter Look-up'!$J:$J,0))</f>
        <v>#N/A</v>
      </c>
      <c r="W1406" s="276"/>
      <c r="X1406" s="276">
        <f t="shared" ca="1" si="202"/>
        <v>0</v>
      </c>
      <c r="Y1406" s="276"/>
      <c r="Z1406" s="276"/>
      <c r="AB1406" s="278" t="str">
        <f t="shared" si="203"/>
        <v/>
      </c>
    </row>
    <row r="1407" spans="1:28" s="277" customFormat="1" ht="20.25">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201"/>
        <v/>
      </c>
      <c r="T1407" s="225" t="str">
        <f ca="1">IF(B1407="","",IF(ISERROR(MATCH($J1407,SorP!$B$1:$B$6230,0)),"",INDIRECT("'SorP'!$A$"&amp;MATCH($J1407,SorP!$B$1:$B$6230,0))))</f>
        <v/>
      </c>
      <c r="U1407" s="241"/>
      <c r="V1407" s="275" t="e">
        <f>IF(C1407="",NA(),MATCH($B1407&amp;$C1407,'Smelter Look-up'!$J:$J,0))</f>
        <v>#N/A</v>
      </c>
      <c r="W1407" s="276"/>
      <c r="X1407" s="276">
        <f t="shared" ca="1" si="202"/>
        <v>0</v>
      </c>
      <c r="Y1407" s="276"/>
      <c r="Z1407" s="276"/>
      <c r="AB1407" s="278" t="str">
        <f t="shared" si="203"/>
        <v/>
      </c>
    </row>
    <row r="1408" spans="1:28" s="277" customFormat="1" ht="20.25">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201"/>
        <v/>
      </c>
      <c r="T1408" s="225" t="str">
        <f ca="1">IF(B1408="","",IF(ISERROR(MATCH($J1408,SorP!$B$1:$B$6230,0)),"",INDIRECT("'SorP'!$A$"&amp;MATCH($J1408,SorP!$B$1:$B$6230,0))))</f>
        <v/>
      </c>
      <c r="U1408" s="241"/>
      <c r="V1408" s="275" t="e">
        <f>IF(C1408="",NA(),MATCH($B1408&amp;$C1408,'Smelter Look-up'!$J:$J,0))</f>
        <v>#N/A</v>
      </c>
      <c r="W1408" s="276"/>
      <c r="X1408" s="276">
        <f t="shared" ca="1" si="202"/>
        <v>0</v>
      </c>
      <c r="Y1408" s="276"/>
      <c r="Z1408" s="276"/>
      <c r="AB1408" s="278" t="str">
        <f t="shared" si="203"/>
        <v/>
      </c>
    </row>
    <row r="1409" spans="1:28" s="277" customFormat="1" ht="20.25">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201"/>
        <v/>
      </c>
      <c r="T1409" s="225" t="str">
        <f ca="1">IF(B1409="","",IF(ISERROR(MATCH($J1409,SorP!$B$1:$B$6230,0)),"",INDIRECT("'SorP'!$A$"&amp;MATCH($J1409,SorP!$B$1:$B$6230,0))))</f>
        <v/>
      </c>
      <c r="U1409" s="241"/>
      <c r="V1409" s="275" t="e">
        <f>IF(C1409="",NA(),MATCH($B1409&amp;$C1409,'Smelter Look-up'!$J:$J,0))</f>
        <v>#N/A</v>
      </c>
      <c r="W1409" s="276"/>
      <c r="X1409" s="276">
        <f t="shared" ca="1" si="202"/>
        <v>0</v>
      </c>
      <c r="Y1409" s="276"/>
      <c r="Z1409" s="276"/>
      <c r="AB1409" s="278" t="str">
        <f t="shared" si="203"/>
        <v/>
      </c>
    </row>
    <row r="1410" spans="1:28" s="277" customFormat="1" ht="20.25">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201"/>
        <v/>
      </c>
      <c r="T1410" s="225" t="str">
        <f ca="1">IF(B1410="","",IF(ISERROR(MATCH($J1410,SorP!$B$1:$B$6230,0)),"",INDIRECT("'SorP'!$A$"&amp;MATCH($J1410,SorP!$B$1:$B$6230,0))))</f>
        <v/>
      </c>
      <c r="U1410" s="241"/>
      <c r="V1410" s="275" t="e">
        <f>IF(C1410="",NA(),MATCH($B1410&amp;$C1410,'Smelter Look-up'!$J:$J,0))</f>
        <v>#N/A</v>
      </c>
      <c r="W1410" s="276"/>
      <c r="X1410" s="276">
        <f t="shared" ca="1" si="202"/>
        <v>0</v>
      </c>
      <c r="Y1410" s="276"/>
      <c r="Z1410" s="276"/>
      <c r="AB1410" s="278" t="str">
        <f t="shared" si="203"/>
        <v/>
      </c>
    </row>
    <row r="1411" spans="1:28" s="277" customFormat="1" ht="20.25">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201"/>
        <v/>
      </c>
      <c r="T1411" s="225" t="str">
        <f ca="1">IF(B1411="","",IF(ISERROR(MATCH($J1411,SorP!$B$1:$B$6230,0)),"",INDIRECT("'SorP'!$A$"&amp;MATCH($J1411,SorP!$B$1:$B$6230,0))))</f>
        <v/>
      </c>
      <c r="U1411" s="241"/>
      <c r="V1411" s="275" t="e">
        <f>IF(C1411="",NA(),MATCH($B1411&amp;$C1411,'Smelter Look-up'!$J:$J,0))</f>
        <v>#N/A</v>
      </c>
      <c r="W1411" s="276"/>
      <c r="X1411" s="276">
        <f t="shared" ca="1" si="202"/>
        <v>0</v>
      </c>
      <c r="Y1411" s="276"/>
      <c r="Z1411" s="276"/>
      <c r="AB1411" s="278" t="str">
        <f t="shared" si="203"/>
        <v/>
      </c>
    </row>
    <row r="1412" spans="1:28" s="277" customFormat="1" ht="20.25">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201"/>
        <v/>
      </c>
      <c r="T1412" s="225" t="str">
        <f ca="1">IF(B1412="","",IF(ISERROR(MATCH($J1412,SorP!$B$1:$B$6230,0)),"",INDIRECT("'SorP'!$A$"&amp;MATCH($J1412,SorP!$B$1:$B$6230,0))))</f>
        <v/>
      </c>
      <c r="U1412" s="241"/>
      <c r="V1412" s="275" t="e">
        <f>IF(C1412="",NA(),MATCH($B1412&amp;$C1412,'Smelter Look-up'!$J:$J,0))</f>
        <v>#N/A</v>
      </c>
      <c r="W1412" s="276"/>
      <c r="X1412" s="276">
        <f t="shared" ca="1" si="202"/>
        <v>0</v>
      </c>
      <c r="Y1412" s="276"/>
      <c r="Z1412" s="276"/>
      <c r="AB1412" s="278" t="str">
        <f t="shared" si="203"/>
        <v/>
      </c>
    </row>
    <row r="1413" spans="1:28" s="277" customFormat="1" ht="20.25">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201"/>
        <v/>
      </c>
      <c r="T1413" s="225" t="str">
        <f ca="1">IF(B1413="","",IF(ISERROR(MATCH($J1413,SorP!$B$1:$B$6230,0)),"",INDIRECT("'SorP'!$A$"&amp;MATCH($J1413,SorP!$B$1:$B$6230,0))))</f>
        <v/>
      </c>
      <c r="U1413" s="241"/>
      <c r="V1413" s="275" t="e">
        <f>IF(C1413="",NA(),MATCH($B1413&amp;$C1413,'Smelter Look-up'!$J:$J,0))</f>
        <v>#N/A</v>
      </c>
      <c r="W1413" s="276"/>
      <c r="X1413" s="276">
        <f t="shared" ca="1" si="202"/>
        <v>0</v>
      </c>
      <c r="Y1413" s="276"/>
      <c r="Z1413" s="276"/>
      <c r="AB1413" s="278" t="str">
        <f t="shared" si="203"/>
        <v/>
      </c>
    </row>
    <row r="1414" spans="1:28" s="277" customFormat="1" ht="20.25">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201"/>
        <v/>
      </c>
      <c r="T1414" s="225" t="str">
        <f ca="1">IF(B1414="","",IF(ISERROR(MATCH($J1414,SorP!$B$1:$B$6230,0)),"",INDIRECT("'SorP'!$A$"&amp;MATCH($J1414,SorP!$B$1:$B$6230,0))))</f>
        <v/>
      </c>
      <c r="U1414" s="241"/>
      <c r="V1414" s="275" t="e">
        <f>IF(C1414="",NA(),MATCH($B1414&amp;$C1414,'Smelter Look-up'!$J:$J,0))</f>
        <v>#N/A</v>
      </c>
      <c r="W1414" s="276"/>
      <c r="X1414" s="276">
        <f t="shared" ca="1" si="202"/>
        <v>0</v>
      </c>
      <c r="Y1414" s="276"/>
      <c r="Z1414" s="276"/>
      <c r="AB1414" s="278" t="str">
        <f t="shared" si="203"/>
        <v/>
      </c>
    </row>
    <row r="1415" spans="1:28" s="277" customFormat="1" ht="20.25">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201"/>
        <v/>
      </c>
      <c r="T1415" s="225" t="str">
        <f ca="1">IF(B1415="","",IF(ISERROR(MATCH($J1415,SorP!$B$1:$B$6230,0)),"",INDIRECT("'SorP'!$A$"&amp;MATCH($J1415,SorP!$B$1:$B$6230,0))))</f>
        <v/>
      </c>
      <c r="U1415" s="241"/>
      <c r="V1415" s="275" t="e">
        <f>IF(C1415="",NA(),MATCH($B1415&amp;$C1415,'Smelter Look-up'!$J:$J,0))</f>
        <v>#N/A</v>
      </c>
      <c r="W1415" s="276"/>
      <c r="X1415" s="276">
        <f t="shared" ca="1" si="202"/>
        <v>0</v>
      </c>
      <c r="Y1415" s="276"/>
      <c r="Z1415" s="276"/>
      <c r="AB1415" s="278" t="str">
        <f t="shared" si="203"/>
        <v/>
      </c>
    </row>
    <row r="1416" spans="1:28" s="277" customFormat="1" ht="20.25">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201"/>
        <v/>
      </c>
      <c r="T1416" s="225" t="str">
        <f ca="1">IF(B1416="","",IF(ISERROR(MATCH($J1416,SorP!$B$1:$B$6230,0)),"",INDIRECT("'SorP'!$A$"&amp;MATCH($J1416,SorP!$B$1:$B$6230,0))))</f>
        <v/>
      </c>
      <c r="U1416" s="241"/>
      <c r="V1416" s="275" t="e">
        <f>IF(C1416="",NA(),MATCH($B1416&amp;$C1416,'Smelter Look-up'!$J:$J,0))</f>
        <v>#N/A</v>
      </c>
      <c r="W1416" s="276"/>
      <c r="X1416" s="276">
        <f t="shared" ca="1" si="202"/>
        <v>0</v>
      </c>
      <c r="Y1416" s="276"/>
      <c r="Z1416" s="276"/>
      <c r="AB1416" s="278" t="str">
        <f t="shared" si="203"/>
        <v/>
      </c>
    </row>
    <row r="1417" spans="1:28" s="277" customFormat="1" ht="20.25">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201"/>
        <v/>
      </c>
      <c r="T1417" s="225" t="str">
        <f ca="1">IF(B1417="","",IF(ISERROR(MATCH($J1417,SorP!$B$1:$B$6230,0)),"",INDIRECT("'SorP'!$A$"&amp;MATCH($J1417,SorP!$B$1:$B$6230,0))))</f>
        <v/>
      </c>
      <c r="U1417" s="241"/>
      <c r="V1417" s="275" t="e">
        <f>IF(C1417="",NA(),MATCH($B1417&amp;$C1417,'Smelter Look-up'!$J:$J,0))</f>
        <v>#N/A</v>
      </c>
      <c r="W1417" s="276"/>
      <c r="X1417" s="276">
        <f t="shared" ca="1" si="202"/>
        <v>0</v>
      </c>
      <c r="Y1417" s="276"/>
      <c r="Z1417" s="276"/>
      <c r="AB1417" s="278" t="str">
        <f t="shared" si="203"/>
        <v/>
      </c>
    </row>
    <row r="1418" spans="1:28" s="277" customFormat="1" ht="20.25">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201"/>
        <v/>
      </c>
      <c r="T1418" s="225" t="str">
        <f ca="1">IF(B1418="","",IF(ISERROR(MATCH($J1418,SorP!$B$1:$B$6230,0)),"",INDIRECT("'SorP'!$A$"&amp;MATCH($J1418,SorP!$B$1:$B$6230,0))))</f>
        <v/>
      </c>
      <c r="U1418" s="241"/>
      <c r="V1418" s="275" t="e">
        <f>IF(C1418="",NA(),MATCH($B1418&amp;$C1418,'Smelter Look-up'!$J:$J,0))</f>
        <v>#N/A</v>
      </c>
      <c r="W1418" s="276"/>
      <c r="X1418" s="276">
        <f t="shared" ca="1" si="202"/>
        <v>0</v>
      </c>
      <c r="Y1418" s="276"/>
      <c r="Z1418" s="276"/>
      <c r="AB1418" s="278" t="str">
        <f t="shared" si="203"/>
        <v/>
      </c>
    </row>
    <row r="1419" spans="1:28" s="277" customFormat="1" ht="20.25">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201"/>
        <v/>
      </c>
      <c r="T1419" s="225" t="str">
        <f ca="1">IF(B1419="","",IF(ISERROR(MATCH($J1419,SorP!$B$1:$B$6230,0)),"",INDIRECT("'SorP'!$A$"&amp;MATCH($J1419,SorP!$B$1:$B$6230,0))))</f>
        <v/>
      </c>
      <c r="U1419" s="241"/>
      <c r="V1419" s="275" t="e">
        <f>IF(C1419="",NA(),MATCH($B1419&amp;$C1419,'Smelter Look-up'!$J:$J,0))</f>
        <v>#N/A</v>
      </c>
      <c r="W1419" s="276"/>
      <c r="X1419" s="276">
        <f t="shared" ca="1" si="202"/>
        <v>0</v>
      </c>
      <c r="Y1419" s="276"/>
      <c r="Z1419" s="276"/>
      <c r="AB1419" s="278" t="str">
        <f t="shared" si="203"/>
        <v/>
      </c>
    </row>
    <row r="1420" spans="1:28" s="277" customFormat="1" ht="20.25">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201"/>
        <v/>
      </c>
      <c r="T1420" s="225" t="str">
        <f ca="1">IF(B1420="","",IF(ISERROR(MATCH($J1420,SorP!$B$1:$B$6230,0)),"",INDIRECT("'SorP'!$A$"&amp;MATCH($J1420,SorP!$B$1:$B$6230,0))))</f>
        <v/>
      </c>
      <c r="U1420" s="241"/>
      <c r="V1420" s="275" t="e">
        <f>IF(C1420="",NA(),MATCH($B1420&amp;$C1420,'Smelter Look-up'!$J:$J,0))</f>
        <v>#N/A</v>
      </c>
      <c r="W1420" s="276"/>
      <c r="X1420" s="276">
        <f t="shared" ca="1" si="202"/>
        <v>0</v>
      </c>
      <c r="Y1420" s="276"/>
      <c r="Z1420" s="276"/>
      <c r="AB1420" s="278" t="str">
        <f t="shared" si="203"/>
        <v/>
      </c>
    </row>
    <row r="1421" spans="1:28" s="277" customFormat="1" ht="20.25">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201"/>
        <v/>
      </c>
      <c r="T1421" s="225" t="str">
        <f ca="1">IF(B1421="","",IF(ISERROR(MATCH($J1421,SorP!$B$1:$B$6230,0)),"",INDIRECT("'SorP'!$A$"&amp;MATCH($J1421,SorP!$B$1:$B$6230,0))))</f>
        <v/>
      </c>
      <c r="U1421" s="241"/>
      <c r="V1421" s="275" t="e">
        <f>IF(C1421="",NA(),MATCH($B1421&amp;$C1421,'Smelter Look-up'!$J:$J,0))</f>
        <v>#N/A</v>
      </c>
      <c r="W1421" s="276"/>
      <c r="X1421" s="276">
        <f t="shared" ca="1" si="202"/>
        <v>0</v>
      </c>
      <c r="Y1421" s="276"/>
      <c r="Z1421" s="276"/>
      <c r="AB1421" s="278" t="str">
        <f t="shared" si="203"/>
        <v/>
      </c>
    </row>
    <row r="1422" spans="1:28" s="277" customFormat="1" ht="20.25">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201"/>
        <v/>
      </c>
      <c r="T1422" s="225" t="str">
        <f ca="1">IF(B1422="","",IF(ISERROR(MATCH($J1422,SorP!$B$1:$B$6230,0)),"",INDIRECT("'SorP'!$A$"&amp;MATCH($J1422,SorP!$B$1:$B$6230,0))))</f>
        <v/>
      </c>
      <c r="U1422" s="241"/>
      <c r="V1422" s="275" t="e">
        <f>IF(C1422="",NA(),MATCH($B1422&amp;$C1422,'Smelter Look-up'!$J:$J,0))</f>
        <v>#N/A</v>
      </c>
      <c r="W1422" s="276"/>
      <c r="X1422" s="276">
        <f t="shared" ca="1" si="202"/>
        <v>0</v>
      </c>
      <c r="Y1422" s="276"/>
      <c r="Z1422" s="276"/>
      <c r="AB1422" s="278" t="str">
        <f t="shared" si="203"/>
        <v/>
      </c>
    </row>
    <row r="1423" spans="1:28" s="277" customFormat="1" ht="20.25">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201"/>
        <v/>
      </c>
      <c r="T1423" s="225" t="str">
        <f ca="1">IF(B1423="","",IF(ISERROR(MATCH($J1423,SorP!$B$1:$B$6230,0)),"",INDIRECT("'SorP'!$A$"&amp;MATCH($J1423,SorP!$B$1:$B$6230,0))))</f>
        <v/>
      </c>
      <c r="U1423" s="241"/>
      <c r="V1423" s="275" t="e">
        <f>IF(C1423="",NA(),MATCH($B1423&amp;$C1423,'Smelter Look-up'!$J:$J,0))</f>
        <v>#N/A</v>
      </c>
      <c r="W1423" s="276"/>
      <c r="X1423" s="276">
        <f t="shared" ca="1" si="202"/>
        <v>0</v>
      </c>
      <c r="Y1423" s="276"/>
      <c r="Z1423" s="276"/>
      <c r="AB1423" s="278" t="str">
        <f t="shared" si="203"/>
        <v/>
      </c>
    </row>
    <row r="1424" spans="1:28" s="277" customFormat="1" ht="20.25">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201"/>
        <v/>
      </c>
      <c r="T1424" s="225" t="str">
        <f ca="1">IF(B1424="","",IF(ISERROR(MATCH($J1424,SorP!$B$1:$B$6230,0)),"",INDIRECT("'SorP'!$A$"&amp;MATCH($J1424,SorP!$B$1:$B$6230,0))))</f>
        <v/>
      </c>
      <c r="U1424" s="241"/>
      <c r="V1424" s="275" t="e">
        <f>IF(C1424="",NA(),MATCH($B1424&amp;$C1424,'Smelter Look-up'!$J:$J,0))</f>
        <v>#N/A</v>
      </c>
      <c r="W1424" s="276"/>
      <c r="X1424" s="276">
        <f t="shared" ca="1" si="202"/>
        <v>0</v>
      </c>
      <c r="Y1424" s="276"/>
      <c r="Z1424" s="276"/>
      <c r="AB1424" s="278" t="str">
        <f t="shared" si="203"/>
        <v/>
      </c>
    </row>
    <row r="1425" spans="1:28" s="277" customFormat="1" ht="20.25">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201"/>
        <v/>
      </c>
      <c r="T1425" s="225" t="str">
        <f ca="1">IF(B1425="","",IF(ISERROR(MATCH($J1425,SorP!$B$1:$B$6230,0)),"",INDIRECT("'SorP'!$A$"&amp;MATCH($J1425,SorP!$B$1:$B$6230,0))))</f>
        <v/>
      </c>
      <c r="U1425" s="241"/>
      <c r="V1425" s="275" t="e">
        <f>IF(C1425="",NA(),MATCH($B1425&amp;$C1425,'Smelter Look-up'!$J:$J,0))</f>
        <v>#N/A</v>
      </c>
      <c r="W1425" s="276"/>
      <c r="X1425" s="276">
        <f t="shared" ca="1" si="202"/>
        <v>0</v>
      </c>
      <c r="Y1425" s="276"/>
      <c r="Z1425" s="276"/>
      <c r="AB1425" s="278" t="str">
        <f t="shared" si="203"/>
        <v/>
      </c>
    </row>
    <row r="1426" spans="1:28" s="277" customFormat="1" ht="20.25">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201"/>
        <v/>
      </c>
      <c r="T1426" s="225" t="str">
        <f ca="1">IF(B1426="","",IF(ISERROR(MATCH($J1426,SorP!$B$1:$B$6230,0)),"",INDIRECT("'SorP'!$A$"&amp;MATCH($J1426,SorP!$B$1:$B$6230,0))))</f>
        <v/>
      </c>
      <c r="U1426" s="241"/>
      <c r="V1426" s="275" t="e">
        <f>IF(C1426="",NA(),MATCH($B1426&amp;$C1426,'Smelter Look-up'!$J:$J,0))</f>
        <v>#N/A</v>
      </c>
      <c r="W1426" s="276"/>
      <c r="X1426" s="276">
        <f t="shared" ca="1" si="202"/>
        <v>0</v>
      </c>
      <c r="Y1426" s="276"/>
      <c r="Z1426" s="276"/>
      <c r="AB1426" s="278" t="str">
        <f t="shared" si="203"/>
        <v/>
      </c>
    </row>
    <row r="1427" spans="1:28" s="277" customFormat="1" ht="20.25">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201"/>
        <v/>
      </c>
      <c r="T1427" s="225" t="str">
        <f ca="1">IF(B1427="","",IF(ISERROR(MATCH($J1427,SorP!$B$1:$B$6230,0)),"",INDIRECT("'SorP'!$A$"&amp;MATCH($J1427,SorP!$B$1:$B$6230,0))))</f>
        <v/>
      </c>
      <c r="U1427" s="241"/>
      <c r="V1427" s="275" t="e">
        <f>IF(C1427="",NA(),MATCH($B1427&amp;$C1427,'Smelter Look-up'!$J:$J,0))</f>
        <v>#N/A</v>
      </c>
      <c r="W1427" s="276"/>
      <c r="X1427" s="276">
        <f t="shared" ca="1" si="202"/>
        <v>0</v>
      </c>
      <c r="Y1427" s="276"/>
      <c r="Z1427" s="276"/>
      <c r="AB1427" s="278" t="str">
        <f t="shared" si="203"/>
        <v/>
      </c>
    </row>
    <row r="1428" spans="1:28" s="277" customFormat="1" ht="20.25">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201"/>
        <v/>
      </c>
      <c r="T1428" s="225" t="str">
        <f ca="1">IF(B1428="","",IF(ISERROR(MATCH($J1428,SorP!$B$1:$B$6230,0)),"",INDIRECT("'SorP'!$A$"&amp;MATCH($J1428,SorP!$B$1:$B$6230,0))))</f>
        <v/>
      </c>
      <c r="U1428" s="241"/>
      <c r="V1428" s="275" t="e">
        <f>IF(C1428="",NA(),MATCH($B1428&amp;$C1428,'Smelter Look-up'!$J:$J,0))</f>
        <v>#N/A</v>
      </c>
      <c r="W1428" s="276"/>
      <c r="X1428" s="276">
        <f t="shared" ca="1" si="202"/>
        <v>0</v>
      </c>
      <c r="Y1428" s="276"/>
      <c r="Z1428" s="276"/>
      <c r="AB1428" s="278" t="str">
        <f t="shared" si="203"/>
        <v/>
      </c>
    </row>
    <row r="1429" spans="1:28" s="277" customFormat="1" ht="20.25">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201"/>
        <v/>
      </c>
      <c r="T1429" s="225" t="str">
        <f ca="1">IF(B1429="","",IF(ISERROR(MATCH($J1429,SorP!$B$1:$B$6230,0)),"",INDIRECT("'SorP'!$A$"&amp;MATCH($J1429,SorP!$B$1:$B$6230,0))))</f>
        <v/>
      </c>
      <c r="U1429" s="241"/>
      <c r="V1429" s="275" t="e">
        <f>IF(C1429="",NA(),MATCH($B1429&amp;$C1429,'Smelter Look-up'!$J:$J,0))</f>
        <v>#N/A</v>
      </c>
      <c r="W1429" s="276"/>
      <c r="X1429" s="276">
        <f t="shared" ca="1" si="202"/>
        <v>0</v>
      </c>
      <c r="Y1429" s="276"/>
      <c r="Z1429" s="276"/>
      <c r="AB1429" s="278" t="str">
        <f t="shared" si="203"/>
        <v/>
      </c>
    </row>
    <row r="1430" spans="1:28" s="277" customFormat="1" ht="20.25">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201"/>
        <v/>
      </c>
      <c r="T1430" s="225" t="str">
        <f ca="1">IF(B1430="","",IF(ISERROR(MATCH($J1430,SorP!$B$1:$B$6230,0)),"",INDIRECT("'SorP'!$A$"&amp;MATCH($J1430,SorP!$B$1:$B$6230,0))))</f>
        <v/>
      </c>
      <c r="U1430" s="241"/>
      <c r="V1430" s="275" t="e">
        <f>IF(C1430="",NA(),MATCH($B1430&amp;$C1430,'Smelter Look-up'!$J:$J,0))</f>
        <v>#N/A</v>
      </c>
      <c r="W1430" s="276"/>
      <c r="X1430" s="276">
        <f t="shared" ca="1" si="202"/>
        <v>0</v>
      </c>
      <c r="Y1430" s="276"/>
      <c r="Z1430" s="276"/>
      <c r="AB1430" s="278" t="str">
        <f t="shared" si="203"/>
        <v/>
      </c>
    </row>
    <row r="1431" spans="1:28" s="277" customFormat="1" ht="20.25">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201"/>
        <v/>
      </c>
      <c r="T1431" s="225" t="str">
        <f ca="1">IF(B1431="","",IF(ISERROR(MATCH($J1431,SorP!$B$1:$B$6230,0)),"",INDIRECT("'SorP'!$A$"&amp;MATCH($J1431,SorP!$B$1:$B$6230,0))))</f>
        <v/>
      </c>
      <c r="U1431" s="241"/>
      <c r="V1431" s="275" t="e">
        <f>IF(C1431="",NA(),MATCH($B1431&amp;$C1431,'Smelter Look-up'!$J:$J,0))</f>
        <v>#N/A</v>
      </c>
      <c r="W1431" s="276"/>
      <c r="X1431" s="276">
        <f t="shared" ca="1" si="202"/>
        <v>0</v>
      </c>
      <c r="Y1431" s="276"/>
      <c r="Z1431" s="276"/>
      <c r="AB1431" s="278" t="str">
        <f t="shared" si="203"/>
        <v/>
      </c>
    </row>
    <row r="1432" spans="1:28" s="277" customFormat="1" ht="20.25">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201"/>
        <v/>
      </c>
      <c r="T1432" s="225" t="str">
        <f ca="1">IF(B1432="","",IF(ISERROR(MATCH($J1432,SorP!$B$1:$B$6230,0)),"",INDIRECT("'SorP'!$A$"&amp;MATCH($J1432,SorP!$B$1:$B$6230,0))))</f>
        <v/>
      </c>
      <c r="U1432" s="241"/>
      <c r="V1432" s="275" t="e">
        <f>IF(C1432="",NA(),MATCH($B1432&amp;$C1432,'Smelter Look-up'!$J:$J,0))</f>
        <v>#N/A</v>
      </c>
      <c r="W1432" s="276"/>
      <c r="X1432" s="276">
        <f t="shared" ca="1" si="202"/>
        <v>0</v>
      </c>
      <c r="Y1432" s="276"/>
      <c r="Z1432" s="276"/>
      <c r="AB1432" s="278" t="str">
        <f t="shared" si="203"/>
        <v/>
      </c>
    </row>
    <row r="1433" spans="1:28" s="277" customFormat="1" ht="20.25">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201"/>
        <v/>
      </c>
      <c r="T1433" s="225" t="str">
        <f ca="1">IF(B1433="","",IF(ISERROR(MATCH($J1433,SorP!$B$1:$B$6230,0)),"",INDIRECT("'SorP'!$A$"&amp;MATCH($J1433,SorP!$B$1:$B$6230,0))))</f>
        <v/>
      </c>
      <c r="U1433" s="241"/>
      <c r="V1433" s="275" t="e">
        <f>IF(C1433="",NA(),MATCH($B1433&amp;$C1433,'Smelter Look-up'!$J:$J,0))</f>
        <v>#N/A</v>
      </c>
      <c r="W1433" s="276"/>
      <c r="X1433" s="276">
        <f t="shared" ca="1" si="202"/>
        <v>0</v>
      </c>
      <c r="Y1433" s="276"/>
      <c r="Z1433" s="276"/>
      <c r="AB1433" s="278" t="str">
        <f t="shared" si="203"/>
        <v/>
      </c>
    </row>
    <row r="1434" spans="1:28" s="277" customFormat="1" ht="20.25">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201"/>
        <v/>
      </c>
      <c r="T1434" s="225" t="str">
        <f ca="1">IF(B1434="","",IF(ISERROR(MATCH($J1434,SorP!$B$1:$B$6230,0)),"",INDIRECT("'SorP'!$A$"&amp;MATCH($J1434,SorP!$B$1:$B$6230,0))))</f>
        <v/>
      </c>
      <c r="U1434" s="241"/>
      <c r="V1434" s="275" t="e">
        <f>IF(C1434="",NA(),MATCH($B1434&amp;$C1434,'Smelter Look-up'!$J:$J,0))</f>
        <v>#N/A</v>
      </c>
      <c r="W1434" s="276"/>
      <c r="X1434" s="276">
        <f t="shared" ca="1" si="202"/>
        <v>0</v>
      </c>
      <c r="Y1434" s="276"/>
      <c r="Z1434" s="276"/>
      <c r="AB1434" s="278" t="str">
        <f t="shared" si="203"/>
        <v/>
      </c>
    </row>
    <row r="1435" spans="1:28" s="277" customFormat="1" ht="20.25">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201"/>
        <v/>
      </c>
      <c r="T1435" s="225" t="str">
        <f ca="1">IF(B1435="","",IF(ISERROR(MATCH($J1435,SorP!$B$1:$B$6230,0)),"",INDIRECT("'SorP'!$A$"&amp;MATCH($J1435,SorP!$B$1:$B$6230,0))))</f>
        <v/>
      </c>
      <c r="U1435" s="241"/>
      <c r="V1435" s="275" t="e">
        <f>IF(C1435="",NA(),MATCH($B1435&amp;$C1435,'Smelter Look-up'!$J:$J,0))</f>
        <v>#N/A</v>
      </c>
      <c r="W1435" s="276"/>
      <c r="X1435" s="276">
        <f t="shared" ca="1" si="202"/>
        <v>0</v>
      </c>
      <c r="Y1435" s="276"/>
      <c r="Z1435" s="276"/>
      <c r="AB1435" s="278" t="str">
        <f t="shared" si="203"/>
        <v/>
      </c>
    </row>
    <row r="1436" spans="1:28" s="277" customFormat="1" ht="20.25">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ref="S1436:S1466" ca="1" si="204">IF(B1436="","",IF(ISERROR(MATCH($E1436,CL,0)),"Unknown",INDIRECT("'C'!$A$"&amp;MATCH($E1436,CL,0)+1)))</f>
        <v/>
      </c>
      <c r="T1436" s="225" t="str">
        <f ca="1">IF(B1436="","",IF(ISERROR(MATCH($J1436,SorP!$B$1:$B$6230,0)),"",INDIRECT("'SorP'!$A$"&amp;MATCH($J1436,SorP!$B$1:$B$6230,0))))</f>
        <v/>
      </c>
      <c r="U1436" s="241"/>
      <c r="V1436" s="275" t="e">
        <f>IF(C1436="",NA(),MATCH($B1436&amp;$C1436,'Smelter Look-up'!$J:$J,0))</f>
        <v>#N/A</v>
      </c>
      <c r="W1436" s="276"/>
      <c r="X1436" s="276">
        <f t="shared" ref="X1436:X1466" ca="1" si="205">IF(AND(C1436="Smelter not listed",OR(LEN(D1436)=0,LEN(E1436)=0)),1,0)</f>
        <v>0</v>
      </c>
      <c r="Y1436" s="276"/>
      <c r="Z1436" s="276"/>
      <c r="AB1436" s="278" t="str">
        <f t="shared" ref="AB1436:AB1466" si="206">B1436&amp;C1436</f>
        <v/>
      </c>
    </row>
    <row r="1437" spans="1:28" s="277" customFormat="1" ht="20.25">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204"/>
        <v/>
      </c>
      <c r="T1437" s="225" t="str">
        <f ca="1">IF(B1437="","",IF(ISERROR(MATCH($J1437,SorP!$B$1:$B$6230,0)),"",INDIRECT("'SorP'!$A$"&amp;MATCH($J1437,SorP!$B$1:$B$6230,0))))</f>
        <v/>
      </c>
      <c r="U1437" s="241"/>
      <c r="V1437" s="275" t="e">
        <f>IF(C1437="",NA(),MATCH($B1437&amp;$C1437,'Smelter Look-up'!$J:$J,0))</f>
        <v>#N/A</v>
      </c>
      <c r="W1437" s="276"/>
      <c r="X1437" s="276">
        <f t="shared" ca="1" si="205"/>
        <v>0</v>
      </c>
      <c r="Y1437" s="276"/>
      <c r="Z1437" s="276"/>
      <c r="AB1437" s="278" t="str">
        <f t="shared" si="206"/>
        <v/>
      </c>
    </row>
    <row r="1438" spans="1:28" s="277" customFormat="1" ht="20.25">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204"/>
        <v/>
      </c>
      <c r="T1438" s="225" t="str">
        <f ca="1">IF(B1438="","",IF(ISERROR(MATCH($J1438,SorP!$B$1:$B$6230,0)),"",INDIRECT("'SorP'!$A$"&amp;MATCH($J1438,SorP!$B$1:$B$6230,0))))</f>
        <v/>
      </c>
      <c r="U1438" s="241"/>
      <c r="V1438" s="275" t="e">
        <f>IF(C1438="",NA(),MATCH($B1438&amp;$C1438,'Smelter Look-up'!$J:$J,0))</f>
        <v>#N/A</v>
      </c>
      <c r="W1438" s="276"/>
      <c r="X1438" s="276">
        <f t="shared" ca="1" si="205"/>
        <v>0</v>
      </c>
      <c r="Y1438" s="276"/>
      <c r="Z1438" s="276"/>
      <c r="AB1438" s="278" t="str">
        <f t="shared" si="206"/>
        <v/>
      </c>
    </row>
    <row r="1439" spans="1:28" s="277" customFormat="1" ht="20.25">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204"/>
        <v/>
      </c>
      <c r="T1439" s="225" t="str">
        <f ca="1">IF(B1439="","",IF(ISERROR(MATCH($J1439,SorP!$B$1:$B$6230,0)),"",INDIRECT("'SorP'!$A$"&amp;MATCH($J1439,SorP!$B$1:$B$6230,0))))</f>
        <v/>
      </c>
      <c r="U1439" s="241"/>
      <c r="V1439" s="275" t="e">
        <f>IF(C1439="",NA(),MATCH($B1439&amp;$C1439,'Smelter Look-up'!$J:$J,0))</f>
        <v>#N/A</v>
      </c>
      <c r="W1439" s="276"/>
      <c r="X1439" s="276">
        <f t="shared" ca="1" si="205"/>
        <v>0</v>
      </c>
      <c r="Y1439" s="276"/>
      <c r="Z1439" s="276"/>
      <c r="AB1439" s="278" t="str">
        <f t="shared" si="206"/>
        <v/>
      </c>
    </row>
    <row r="1440" spans="1:28" s="277" customFormat="1" ht="20.25">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204"/>
        <v/>
      </c>
      <c r="T1440" s="225" t="str">
        <f ca="1">IF(B1440="","",IF(ISERROR(MATCH($J1440,SorP!$B$1:$B$6230,0)),"",INDIRECT("'SorP'!$A$"&amp;MATCH($J1440,SorP!$B$1:$B$6230,0))))</f>
        <v/>
      </c>
      <c r="U1440" s="241"/>
      <c r="V1440" s="275" t="e">
        <f>IF(C1440="",NA(),MATCH($B1440&amp;$C1440,'Smelter Look-up'!$J:$J,0))</f>
        <v>#N/A</v>
      </c>
      <c r="W1440" s="276"/>
      <c r="X1440" s="276">
        <f t="shared" ca="1" si="205"/>
        <v>0</v>
      </c>
      <c r="Y1440" s="276"/>
      <c r="Z1440" s="276"/>
      <c r="AB1440" s="278" t="str">
        <f t="shared" si="206"/>
        <v/>
      </c>
    </row>
    <row r="1441" spans="1:28" s="277" customFormat="1" ht="20.25">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204"/>
        <v/>
      </c>
      <c r="T1441" s="225" t="str">
        <f ca="1">IF(B1441="","",IF(ISERROR(MATCH($J1441,SorP!$B$1:$B$6230,0)),"",INDIRECT("'SorP'!$A$"&amp;MATCH($J1441,SorP!$B$1:$B$6230,0))))</f>
        <v/>
      </c>
      <c r="U1441" s="241"/>
      <c r="V1441" s="275" t="e">
        <f>IF(C1441="",NA(),MATCH($B1441&amp;$C1441,'Smelter Look-up'!$J:$J,0))</f>
        <v>#N/A</v>
      </c>
      <c r="W1441" s="276"/>
      <c r="X1441" s="276">
        <f t="shared" ca="1" si="205"/>
        <v>0</v>
      </c>
      <c r="Y1441" s="276"/>
      <c r="Z1441" s="276"/>
      <c r="AB1441" s="278" t="str">
        <f t="shared" si="206"/>
        <v/>
      </c>
    </row>
    <row r="1442" spans="1:28" s="277" customFormat="1" ht="20.25">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204"/>
        <v/>
      </c>
      <c r="T1442" s="225" t="str">
        <f ca="1">IF(B1442="","",IF(ISERROR(MATCH($J1442,SorP!$B$1:$B$6230,0)),"",INDIRECT("'SorP'!$A$"&amp;MATCH($J1442,SorP!$B$1:$B$6230,0))))</f>
        <v/>
      </c>
      <c r="U1442" s="241"/>
      <c r="V1442" s="275" t="e">
        <f>IF(C1442="",NA(),MATCH($B1442&amp;$C1442,'Smelter Look-up'!$J:$J,0))</f>
        <v>#N/A</v>
      </c>
      <c r="W1442" s="276"/>
      <c r="X1442" s="276">
        <f t="shared" ca="1" si="205"/>
        <v>0</v>
      </c>
      <c r="Y1442" s="276"/>
      <c r="Z1442" s="276"/>
      <c r="AB1442" s="278" t="str">
        <f t="shared" si="206"/>
        <v/>
      </c>
    </row>
    <row r="1443" spans="1:28" s="277" customFormat="1" ht="20.25">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204"/>
        <v/>
      </c>
      <c r="T1443" s="225" t="str">
        <f ca="1">IF(B1443="","",IF(ISERROR(MATCH($J1443,SorP!$B$1:$B$6230,0)),"",INDIRECT("'SorP'!$A$"&amp;MATCH($J1443,SorP!$B$1:$B$6230,0))))</f>
        <v/>
      </c>
      <c r="U1443" s="241"/>
      <c r="V1443" s="275" t="e">
        <f>IF(C1443="",NA(),MATCH($B1443&amp;$C1443,'Smelter Look-up'!$J:$J,0))</f>
        <v>#N/A</v>
      </c>
      <c r="W1443" s="276"/>
      <c r="X1443" s="276">
        <f t="shared" ca="1" si="205"/>
        <v>0</v>
      </c>
      <c r="Y1443" s="276"/>
      <c r="Z1443" s="276"/>
      <c r="AB1443" s="278" t="str">
        <f t="shared" si="206"/>
        <v/>
      </c>
    </row>
    <row r="1444" spans="1:28" s="277" customFormat="1" ht="20.25">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204"/>
        <v/>
      </c>
      <c r="T1444" s="225" t="str">
        <f ca="1">IF(B1444="","",IF(ISERROR(MATCH($J1444,SorP!$B$1:$B$6230,0)),"",INDIRECT("'SorP'!$A$"&amp;MATCH($J1444,SorP!$B$1:$B$6230,0))))</f>
        <v/>
      </c>
      <c r="U1444" s="241"/>
      <c r="V1444" s="275" t="e">
        <f>IF(C1444="",NA(),MATCH($B1444&amp;$C1444,'Smelter Look-up'!$J:$J,0))</f>
        <v>#N/A</v>
      </c>
      <c r="W1444" s="276"/>
      <c r="X1444" s="276">
        <f t="shared" ca="1" si="205"/>
        <v>0</v>
      </c>
      <c r="Y1444" s="276"/>
      <c r="Z1444" s="276"/>
      <c r="AB1444" s="278" t="str">
        <f t="shared" si="206"/>
        <v/>
      </c>
    </row>
    <row r="1445" spans="1:28" s="277" customFormat="1" ht="20.25">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204"/>
        <v/>
      </c>
      <c r="T1445" s="225" t="str">
        <f ca="1">IF(B1445="","",IF(ISERROR(MATCH($J1445,SorP!$B$1:$B$6230,0)),"",INDIRECT("'SorP'!$A$"&amp;MATCH($J1445,SorP!$B$1:$B$6230,0))))</f>
        <v/>
      </c>
      <c r="U1445" s="241"/>
      <c r="V1445" s="275" t="e">
        <f>IF(C1445="",NA(),MATCH($B1445&amp;$C1445,'Smelter Look-up'!$J:$J,0))</f>
        <v>#N/A</v>
      </c>
      <c r="W1445" s="276"/>
      <c r="X1445" s="276">
        <f t="shared" ca="1" si="205"/>
        <v>0</v>
      </c>
      <c r="Y1445" s="276"/>
      <c r="Z1445" s="276"/>
      <c r="AB1445" s="278" t="str">
        <f t="shared" si="206"/>
        <v/>
      </c>
    </row>
    <row r="1446" spans="1:28" s="277" customFormat="1" ht="20.25">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204"/>
        <v/>
      </c>
      <c r="T1446" s="225" t="str">
        <f ca="1">IF(B1446="","",IF(ISERROR(MATCH($J1446,SorP!$B$1:$B$6230,0)),"",INDIRECT("'SorP'!$A$"&amp;MATCH($J1446,SorP!$B$1:$B$6230,0))))</f>
        <v/>
      </c>
      <c r="U1446" s="241"/>
      <c r="V1446" s="275" t="e">
        <f>IF(C1446="",NA(),MATCH($B1446&amp;$C1446,'Smelter Look-up'!$J:$J,0))</f>
        <v>#N/A</v>
      </c>
      <c r="W1446" s="276"/>
      <c r="X1446" s="276">
        <f t="shared" ca="1" si="205"/>
        <v>0</v>
      </c>
      <c r="Y1446" s="276"/>
      <c r="Z1446" s="276"/>
      <c r="AB1446" s="278" t="str">
        <f t="shared" si="206"/>
        <v/>
      </c>
    </row>
    <row r="1447" spans="1:28" s="277" customFormat="1" ht="20.25">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204"/>
        <v/>
      </c>
      <c r="T1447" s="225" t="str">
        <f ca="1">IF(B1447="","",IF(ISERROR(MATCH($J1447,SorP!$B$1:$B$6230,0)),"",INDIRECT("'SorP'!$A$"&amp;MATCH($J1447,SorP!$B$1:$B$6230,0))))</f>
        <v/>
      </c>
      <c r="U1447" s="241"/>
      <c r="V1447" s="275" t="e">
        <f>IF(C1447="",NA(),MATCH($B1447&amp;$C1447,'Smelter Look-up'!$J:$J,0))</f>
        <v>#N/A</v>
      </c>
      <c r="W1447" s="276"/>
      <c r="X1447" s="276">
        <f t="shared" ca="1" si="205"/>
        <v>0</v>
      </c>
      <c r="Y1447" s="276"/>
      <c r="Z1447" s="276"/>
      <c r="AB1447" s="278" t="str">
        <f t="shared" si="206"/>
        <v/>
      </c>
    </row>
    <row r="1448" spans="1:28" s="277" customFormat="1" ht="20.25">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204"/>
        <v/>
      </c>
      <c r="T1448" s="225" t="str">
        <f ca="1">IF(B1448="","",IF(ISERROR(MATCH($J1448,SorP!$B$1:$B$6230,0)),"",INDIRECT("'SorP'!$A$"&amp;MATCH($J1448,SorP!$B$1:$B$6230,0))))</f>
        <v/>
      </c>
      <c r="U1448" s="241"/>
      <c r="V1448" s="275" t="e">
        <f>IF(C1448="",NA(),MATCH($B1448&amp;$C1448,'Smelter Look-up'!$J:$J,0))</f>
        <v>#N/A</v>
      </c>
      <c r="W1448" s="276"/>
      <c r="X1448" s="276">
        <f t="shared" ca="1" si="205"/>
        <v>0</v>
      </c>
      <c r="Y1448" s="276"/>
      <c r="Z1448" s="276"/>
      <c r="AB1448" s="278" t="str">
        <f t="shared" si="206"/>
        <v/>
      </c>
    </row>
    <row r="1449" spans="1:28" s="277" customFormat="1" ht="20.25">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204"/>
        <v/>
      </c>
      <c r="T1449" s="225" t="str">
        <f ca="1">IF(B1449="","",IF(ISERROR(MATCH($J1449,SorP!$B$1:$B$6230,0)),"",INDIRECT("'SorP'!$A$"&amp;MATCH($J1449,SorP!$B$1:$B$6230,0))))</f>
        <v/>
      </c>
      <c r="U1449" s="241"/>
      <c r="V1449" s="275" t="e">
        <f>IF(C1449="",NA(),MATCH($B1449&amp;$C1449,'Smelter Look-up'!$J:$J,0))</f>
        <v>#N/A</v>
      </c>
      <c r="W1449" s="276"/>
      <c r="X1449" s="276">
        <f t="shared" ca="1" si="205"/>
        <v>0</v>
      </c>
      <c r="Y1449" s="276"/>
      <c r="Z1449" s="276"/>
      <c r="AB1449" s="278" t="str">
        <f t="shared" si="206"/>
        <v/>
      </c>
    </row>
    <row r="1450" spans="1:28" s="277" customFormat="1" ht="20.25">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204"/>
        <v/>
      </c>
      <c r="T1450" s="225" t="str">
        <f ca="1">IF(B1450="","",IF(ISERROR(MATCH($J1450,SorP!$B$1:$B$6230,0)),"",INDIRECT("'SorP'!$A$"&amp;MATCH($J1450,SorP!$B$1:$B$6230,0))))</f>
        <v/>
      </c>
      <c r="U1450" s="241"/>
      <c r="V1450" s="275" t="e">
        <f>IF(C1450="",NA(),MATCH($B1450&amp;$C1450,'Smelter Look-up'!$J:$J,0))</f>
        <v>#N/A</v>
      </c>
      <c r="W1450" s="276"/>
      <c r="X1450" s="276">
        <f t="shared" ca="1" si="205"/>
        <v>0</v>
      </c>
      <c r="Y1450" s="276"/>
      <c r="Z1450" s="276"/>
      <c r="AB1450" s="278" t="str">
        <f t="shared" si="206"/>
        <v/>
      </c>
    </row>
    <row r="1451" spans="1:28" s="277" customFormat="1" ht="20.25">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204"/>
        <v/>
      </c>
      <c r="T1451" s="225" t="str">
        <f ca="1">IF(B1451="","",IF(ISERROR(MATCH($J1451,SorP!$B$1:$B$6230,0)),"",INDIRECT("'SorP'!$A$"&amp;MATCH($J1451,SorP!$B$1:$B$6230,0))))</f>
        <v/>
      </c>
      <c r="U1451" s="241"/>
      <c r="V1451" s="275" t="e">
        <f>IF(C1451="",NA(),MATCH($B1451&amp;$C1451,'Smelter Look-up'!$J:$J,0))</f>
        <v>#N/A</v>
      </c>
      <c r="W1451" s="276"/>
      <c r="X1451" s="276">
        <f t="shared" ca="1" si="205"/>
        <v>0</v>
      </c>
      <c r="Y1451" s="276"/>
      <c r="Z1451" s="276"/>
      <c r="AB1451" s="278" t="str">
        <f t="shared" si="206"/>
        <v/>
      </c>
    </row>
    <row r="1452" spans="1:28" s="277" customFormat="1" ht="20.25">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204"/>
        <v/>
      </c>
      <c r="T1452" s="225" t="str">
        <f ca="1">IF(B1452="","",IF(ISERROR(MATCH($J1452,SorP!$B$1:$B$6230,0)),"",INDIRECT("'SorP'!$A$"&amp;MATCH($J1452,SorP!$B$1:$B$6230,0))))</f>
        <v/>
      </c>
      <c r="U1452" s="241"/>
      <c r="V1452" s="275" t="e">
        <f>IF(C1452="",NA(),MATCH($B1452&amp;$C1452,'Smelter Look-up'!$J:$J,0))</f>
        <v>#N/A</v>
      </c>
      <c r="W1452" s="276"/>
      <c r="X1452" s="276">
        <f t="shared" ca="1" si="205"/>
        <v>0</v>
      </c>
      <c r="Y1452" s="276"/>
      <c r="Z1452" s="276"/>
      <c r="AB1452" s="278" t="str">
        <f t="shared" si="206"/>
        <v/>
      </c>
    </row>
    <row r="1453" spans="1:28" s="277" customFormat="1" ht="20.25">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204"/>
        <v/>
      </c>
      <c r="T1453" s="225" t="str">
        <f ca="1">IF(B1453="","",IF(ISERROR(MATCH($J1453,SorP!$B$1:$B$6230,0)),"",INDIRECT("'SorP'!$A$"&amp;MATCH($J1453,SorP!$B$1:$B$6230,0))))</f>
        <v/>
      </c>
      <c r="U1453" s="241"/>
      <c r="V1453" s="275" t="e">
        <f>IF(C1453="",NA(),MATCH($B1453&amp;$C1453,'Smelter Look-up'!$J:$J,0))</f>
        <v>#N/A</v>
      </c>
      <c r="W1453" s="276"/>
      <c r="X1453" s="276">
        <f t="shared" ca="1" si="205"/>
        <v>0</v>
      </c>
      <c r="Y1453" s="276"/>
      <c r="Z1453" s="276"/>
      <c r="AB1453" s="278" t="str">
        <f t="shared" si="206"/>
        <v/>
      </c>
    </row>
    <row r="1454" spans="1:28" s="277" customFormat="1" ht="20.25">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204"/>
        <v/>
      </c>
      <c r="T1454" s="225" t="str">
        <f ca="1">IF(B1454="","",IF(ISERROR(MATCH($J1454,SorP!$B$1:$B$6230,0)),"",INDIRECT("'SorP'!$A$"&amp;MATCH($J1454,SorP!$B$1:$B$6230,0))))</f>
        <v/>
      </c>
      <c r="U1454" s="241"/>
      <c r="V1454" s="275" t="e">
        <f>IF(C1454="",NA(),MATCH($B1454&amp;$C1454,'Smelter Look-up'!$J:$J,0))</f>
        <v>#N/A</v>
      </c>
      <c r="W1454" s="276"/>
      <c r="X1454" s="276">
        <f t="shared" ca="1" si="205"/>
        <v>0</v>
      </c>
      <c r="Y1454" s="276"/>
      <c r="Z1454" s="276"/>
      <c r="AB1454" s="278" t="str">
        <f t="shared" si="206"/>
        <v/>
      </c>
    </row>
    <row r="1455" spans="1:28" s="277" customFormat="1" ht="20.25">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204"/>
        <v/>
      </c>
      <c r="T1455" s="225" t="str">
        <f ca="1">IF(B1455="","",IF(ISERROR(MATCH($J1455,SorP!$B$1:$B$6230,0)),"",INDIRECT("'SorP'!$A$"&amp;MATCH($J1455,SorP!$B$1:$B$6230,0))))</f>
        <v/>
      </c>
      <c r="U1455" s="241"/>
      <c r="V1455" s="275" t="e">
        <f>IF(C1455="",NA(),MATCH($B1455&amp;$C1455,'Smelter Look-up'!$J:$J,0))</f>
        <v>#N/A</v>
      </c>
      <c r="W1455" s="276"/>
      <c r="X1455" s="276">
        <f t="shared" ca="1" si="205"/>
        <v>0</v>
      </c>
      <c r="Y1455" s="276"/>
      <c r="Z1455" s="276"/>
      <c r="AB1455" s="278" t="str">
        <f t="shared" si="206"/>
        <v/>
      </c>
    </row>
    <row r="1456" spans="1:28" s="277" customFormat="1" ht="20.25">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204"/>
        <v/>
      </c>
      <c r="T1456" s="225" t="str">
        <f ca="1">IF(B1456="","",IF(ISERROR(MATCH($J1456,SorP!$B$1:$B$6230,0)),"",INDIRECT("'SorP'!$A$"&amp;MATCH($J1456,SorP!$B$1:$B$6230,0))))</f>
        <v/>
      </c>
      <c r="U1456" s="241"/>
      <c r="V1456" s="275" t="e">
        <f>IF(C1456="",NA(),MATCH($B1456&amp;$C1456,'Smelter Look-up'!$J:$J,0))</f>
        <v>#N/A</v>
      </c>
      <c r="W1456" s="276"/>
      <c r="X1456" s="276">
        <f t="shared" ca="1" si="205"/>
        <v>0</v>
      </c>
      <c r="Y1456" s="276"/>
      <c r="Z1456" s="276"/>
      <c r="AB1456" s="278" t="str">
        <f t="shared" si="206"/>
        <v/>
      </c>
    </row>
    <row r="1457" spans="1:28" s="277" customFormat="1" ht="20.25">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204"/>
        <v/>
      </c>
      <c r="T1457" s="225" t="str">
        <f ca="1">IF(B1457="","",IF(ISERROR(MATCH($J1457,SorP!$B$1:$B$6230,0)),"",INDIRECT("'SorP'!$A$"&amp;MATCH($J1457,SorP!$B$1:$B$6230,0))))</f>
        <v/>
      </c>
      <c r="U1457" s="241"/>
      <c r="V1457" s="275" t="e">
        <f>IF(C1457="",NA(),MATCH($B1457&amp;$C1457,'Smelter Look-up'!$J:$J,0))</f>
        <v>#N/A</v>
      </c>
      <c r="W1457" s="276"/>
      <c r="X1457" s="276">
        <f t="shared" ca="1" si="205"/>
        <v>0</v>
      </c>
      <c r="Y1457" s="276"/>
      <c r="Z1457" s="276"/>
      <c r="AB1457" s="278" t="str">
        <f t="shared" si="206"/>
        <v/>
      </c>
    </row>
    <row r="1458" spans="1:28" s="277" customFormat="1" ht="20.25">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204"/>
        <v/>
      </c>
      <c r="T1458" s="225" t="str">
        <f ca="1">IF(B1458="","",IF(ISERROR(MATCH($J1458,SorP!$B$1:$B$6230,0)),"",INDIRECT("'SorP'!$A$"&amp;MATCH($J1458,SorP!$B$1:$B$6230,0))))</f>
        <v/>
      </c>
      <c r="U1458" s="241"/>
      <c r="V1458" s="275" t="e">
        <f>IF(C1458="",NA(),MATCH($B1458&amp;$C1458,'Smelter Look-up'!$J:$J,0))</f>
        <v>#N/A</v>
      </c>
      <c r="W1458" s="276"/>
      <c r="X1458" s="276">
        <f t="shared" ca="1" si="205"/>
        <v>0</v>
      </c>
      <c r="Y1458" s="276"/>
      <c r="Z1458" s="276"/>
      <c r="AB1458" s="278" t="str">
        <f t="shared" si="206"/>
        <v/>
      </c>
    </row>
    <row r="1459" spans="1:28" s="277" customFormat="1" ht="20.25">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204"/>
        <v/>
      </c>
      <c r="T1459" s="225" t="str">
        <f ca="1">IF(B1459="","",IF(ISERROR(MATCH($J1459,SorP!$B$1:$B$6230,0)),"",INDIRECT("'SorP'!$A$"&amp;MATCH($J1459,SorP!$B$1:$B$6230,0))))</f>
        <v/>
      </c>
      <c r="U1459" s="241"/>
      <c r="V1459" s="275" t="e">
        <f>IF(C1459="",NA(),MATCH($B1459&amp;$C1459,'Smelter Look-up'!$J:$J,0))</f>
        <v>#N/A</v>
      </c>
      <c r="W1459" s="276"/>
      <c r="X1459" s="276">
        <f t="shared" ca="1" si="205"/>
        <v>0</v>
      </c>
      <c r="Y1459" s="276"/>
      <c r="Z1459" s="276"/>
      <c r="AB1459" s="278" t="str">
        <f t="shared" si="206"/>
        <v/>
      </c>
    </row>
    <row r="1460" spans="1:28" s="277" customFormat="1" ht="20.25">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204"/>
        <v/>
      </c>
      <c r="T1460" s="225" t="str">
        <f ca="1">IF(B1460="","",IF(ISERROR(MATCH($J1460,SorP!$B$1:$B$6230,0)),"",INDIRECT("'SorP'!$A$"&amp;MATCH($J1460,SorP!$B$1:$B$6230,0))))</f>
        <v/>
      </c>
      <c r="U1460" s="241"/>
      <c r="V1460" s="275" t="e">
        <f>IF(C1460="",NA(),MATCH($B1460&amp;$C1460,'Smelter Look-up'!$J:$J,0))</f>
        <v>#N/A</v>
      </c>
      <c r="W1460" s="276"/>
      <c r="X1460" s="276">
        <f t="shared" ca="1" si="205"/>
        <v>0</v>
      </c>
      <c r="Y1460" s="276"/>
      <c r="Z1460" s="276"/>
      <c r="AB1460" s="278" t="str">
        <f t="shared" si="206"/>
        <v/>
      </c>
    </row>
    <row r="1461" spans="1:28" s="277" customFormat="1" ht="20.25">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204"/>
        <v/>
      </c>
      <c r="T1461" s="225" t="str">
        <f ca="1">IF(B1461="","",IF(ISERROR(MATCH($J1461,SorP!$B$1:$B$6230,0)),"",INDIRECT("'SorP'!$A$"&amp;MATCH($J1461,SorP!$B$1:$B$6230,0))))</f>
        <v/>
      </c>
      <c r="U1461" s="241"/>
      <c r="V1461" s="275" t="e">
        <f>IF(C1461="",NA(),MATCH($B1461&amp;$C1461,'Smelter Look-up'!$J:$J,0))</f>
        <v>#N/A</v>
      </c>
      <c r="W1461" s="276"/>
      <c r="X1461" s="276">
        <f t="shared" ca="1" si="205"/>
        <v>0</v>
      </c>
      <c r="Y1461" s="276"/>
      <c r="Z1461" s="276"/>
      <c r="AB1461" s="278" t="str">
        <f t="shared" si="206"/>
        <v/>
      </c>
    </row>
    <row r="1462" spans="1:28" s="277" customFormat="1" ht="20.25">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204"/>
        <v/>
      </c>
      <c r="T1462" s="225" t="str">
        <f ca="1">IF(B1462="","",IF(ISERROR(MATCH($J1462,SorP!$B$1:$B$6230,0)),"",INDIRECT("'SorP'!$A$"&amp;MATCH($J1462,SorP!$B$1:$B$6230,0))))</f>
        <v/>
      </c>
      <c r="U1462" s="241"/>
      <c r="V1462" s="275" t="e">
        <f>IF(C1462="",NA(),MATCH($B1462&amp;$C1462,'Smelter Look-up'!$J:$J,0))</f>
        <v>#N/A</v>
      </c>
      <c r="W1462" s="276"/>
      <c r="X1462" s="276">
        <f t="shared" ca="1" si="205"/>
        <v>0</v>
      </c>
      <c r="Y1462" s="276"/>
      <c r="Z1462" s="276"/>
      <c r="AB1462" s="278" t="str">
        <f t="shared" si="206"/>
        <v/>
      </c>
    </row>
    <row r="1463" spans="1:28" s="277" customFormat="1" ht="20.25">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204"/>
        <v/>
      </c>
      <c r="T1463" s="225" t="str">
        <f ca="1">IF(B1463="","",IF(ISERROR(MATCH($J1463,SorP!$B$1:$B$6230,0)),"",INDIRECT("'SorP'!$A$"&amp;MATCH($J1463,SorP!$B$1:$B$6230,0))))</f>
        <v/>
      </c>
      <c r="U1463" s="241"/>
      <c r="V1463" s="275" t="e">
        <f>IF(C1463="",NA(),MATCH($B1463&amp;$C1463,'Smelter Look-up'!$J:$J,0))</f>
        <v>#N/A</v>
      </c>
      <c r="W1463" s="276"/>
      <c r="X1463" s="276">
        <f t="shared" ca="1" si="205"/>
        <v>0</v>
      </c>
      <c r="Y1463" s="276"/>
      <c r="Z1463" s="276"/>
      <c r="AB1463" s="278" t="str">
        <f t="shared" si="206"/>
        <v/>
      </c>
    </row>
    <row r="1464" spans="1:28" s="277" customFormat="1" ht="20.25">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204"/>
        <v/>
      </c>
      <c r="T1464" s="225" t="str">
        <f ca="1">IF(B1464="","",IF(ISERROR(MATCH($J1464,SorP!$B$1:$B$6230,0)),"",INDIRECT("'SorP'!$A$"&amp;MATCH($J1464,SorP!$B$1:$B$6230,0))))</f>
        <v/>
      </c>
      <c r="U1464" s="241"/>
      <c r="V1464" s="275" t="e">
        <f>IF(C1464="",NA(),MATCH($B1464&amp;$C1464,'Smelter Look-up'!$J:$J,0))</f>
        <v>#N/A</v>
      </c>
      <c r="W1464" s="276"/>
      <c r="X1464" s="276">
        <f t="shared" ca="1" si="205"/>
        <v>0</v>
      </c>
      <c r="Y1464" s="276"/>
      <c r="Z1464" s="276"/>
      <c r="AB1464" s="278" t="str">
        <f t="shared" si="206"/>
        <v/>
      </c>
    </row>
    <row r="1465" spans="1:28" s="277" customFormat="1" ht="20.25">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204"/>
        <v/>
      </c>
      <c r="T1465" s="225" t="str">
        <f ca="1">IF(B1465="","",IF(ISERROR(MATCH($J1465,SorP!$B$1:$B$6230,0)),"",INDIRECT("'SorP'!$A$"&amp;MATCH($J1465,SorP!$B$1:$B$6230,0))))</f>
        <v/>
      </c>
      <c r="U1465" s="241"/>
      <c r="V1465" s="275" t="e">
        <f>IF(C1465="",NA(),MATCH($B1465&amp;$C1465,'Smelter Look-up'!$J:$J,0))</f>
        <v>#N/A</v>
      </c>
      <c r="W1465" s="276"/>
      <c r="X1465" s="276">
        <f t="shared" ca="1" si="205"/>
        <v>0</v>
      </c>
      <c r="Y1465" s="276"/>
      <c r="Z1465" s="276"/>
      <c r="AB1465" s="278" t="str">
        <f t="shared" si="206"/>
        <v/>
      </c>
    </row>
    <row r="1466" spans="1:28" s="277" customFormat="1" ht="20.25">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204"/>
        <v/>
      </c>
      <c r="T1466" s="225" t="str">
        <f ca="1">IF(B1466="","",IF(ISERROR(MATCH($J1466,SorP!$B$1:$B$6230,0)),"",INDIRECT("'SorP'!$A$"&amp;MATCH($J1466,SorP!$B$1:$B$6230,0))))</f>
        <v/>
      </c>
      <c r="U1466" s="241"/>
      <c r="V1466" s="275" t="e">
        <f>IF(C1466="",NA(),MATCH($B1466&amp;$C1466,'Smelter Look-up'!$J:$J,0))</f>
        <v>#N/A</v>
      </c>
      <c r="W1466" s="276"/>
      <c r="X1466" s="276">
        <f t="shared" ca="1" si="205"/>
        <v>0</v>
      </c>
      <c r="Y1466" s="276"/>
      <c r="Z1466" s="276"/>
      <c r="AB1466" s="278" t="str">
        <f t="shared" si="206"/>
        <v/>
      </c>
    </row>
    <row r="1467" spans="1:28" s="277" customFormat="1" ht="20.25">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ref="S1467" ca="1" si="207">IF(B1467="","",IF(ISERROR(MATCH($E1467,CL,0)),"Unknown",INDIRECT("'C'!$A$"&amp;MATCH($E1467,CL,0)+1)))</f>
        <v/>
      </c>
      <c r="T1467" s="225" t="str">
        <f ca="1">IF(B1467="","",IF(ISERROR(MATCH($J1467,SorP!$B$1:$B$6230,0)),"",INDIRECT("'SorP'!$A$"&amp;MATCH($J1467,SorP!$B$1:$B$6230,0))))</f>
        <v/>
      </c>
      <c r="U1467" s="241"/>
      <c r="V1467" s="275" t="e">
        <f>IF(C1467="",NA(),MATCH($B1467&amp;$C1467,'Smelter Look-up'!$J:$J,0))</f>
        <v>#N/A</v>
      </c>
      <c r="W1467" s="276"/>
      <c r="X1467" s="276">
        <f t="shared" ref="X1467" ca="1" si="208">IF(AND(C1467="Smelter not listed",OR(LEN(D1467)=0,LEN(E1467)=0)),1,0)</f>
        <v>0</v>
      </c>
      <c r="Y1467" s="276"/>
      <c r="Z1467" s="276"/>
      <c r="AB1467" s="278" t="str">
        <f t="shared" ref="AB1467" si="209">B1467&amp;C1467</f>
        <v/>
      </c>
    </row>
    <row r="1468" spans="1:28" s="277" customFormat="1" ht="20.25">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ref="S1468:S1499" ca="1" si="210">IF(B1468="","",IF(ISERROR(MATCH($E1468,CL,0)),"Unknown",INDIRECT("'C'!$A$"&amp;MATCH($E1468,CL,0)+1)))</f>
        <v/>
      </c>
      <c r="T1468" s="225" t="str">
        <f ca="1">IF(B1468="","",IF(ISERROR(MATCH($J1468,SorP!$B$1:$B$6230,0)),"",INDIRECT("'SorP'!$A$"&amp;MATCH($J1468,SorP!$B$1:$B$6230,0))))</f>
        <v/>
      </c>
      <c r="U1468" s="241"/>
      <c r="V1468" s="275" t="e">
        <f>IF(C1468="",NA(),MATCH($B1468&amp;$C1468,'Smelter Look-up'!$J:$J,0))</f>
        <v>#N/A</v>
      </c>
      <c r="W1468" s="276"/>
      <c r="X1468" s="276">
        <f t="shared" ref="X1468:X1499" ca="1" si="211">IF(AND(C1468="Smelter not listed",OR(LEN(D1468)=0,LEN(E1468)=0)),1,0)</f>
        <v>0</v>
      </c>
      <c r="Y1468" s="276"/>
      <c r="Z1468" s="276"/>
      <c r="AB1468" s="278" t="str">
        <f t="shared" ref="AB1468:AB1499" si="212">B1468&amp;C1468</f>
        <v/>
      </c>
    </row>
    <row r="1469" spans="1:28" s="277" customFormat="1" ht="20.25">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10"/>
        <v/>
      </c>
      <c r="T1469" s="225" t="str">
        <f ca="1">IF(B1469="","",IF(ISERROR(MATCH($J1469,SorP!$B$1:$B$6230,0)),"",INDIRECT("'SorP'!$A$"&amp;MATCH($J1469,SorP!$B$1:$B$6230,0))))</f>
        <v/>
      </c>
      <c r="U1469" s="241"/>
      <c r="V1469" s="275" t="e">
        <f>IF(C1469="",NA(),MATCH($B1469&amp;$C1469,'Smelter Look-up'!$J:$J,0))</f>
        <v>#N/A</v>
      </c>
      <c r="W1469" s="276"/>
      <c r="X1469" s="276">
        <f t="shared" ca="1" si="211"/>
        <v>0</v>
      </c>
      <c r="Y1469" s="276"/>
      <c r="Z1469" s="276"/>
      <c r="AB1469" s="278" t="str">
        <f t="shared" si="212"/>
        <v/>
      </c>
    </row>
    <row r="1470" spans="1:28" s="277" customFormat="1" ht="20.25">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10"/>
        <v/>
      </c>
      <c r="T1470" s="225" t="str">
        <f ca="1">IF(B1470="","",IF(ISERROR(MATCH($J1470,SorP!$B$1:$B$6230,0)),"",INDIRECT("'SorP'!$A$"&amp;MATCH($J1470,SorP!$B$1:$B$6230,0))))</f>
        <v/>
      </c>
      <c r="U1470" s="241"/>
      <c r="V1470" s="275" t="e">
        <f>IF(C1470="",NA(),MATCH($B1470&amp;$C1470,'Smelter Look-up'!$J:$J,0))</f>
        <v>#N/A</v>
      </c>
      <c r="W1470" s="276"/>
      <c r="X1470" s="276">
        <f t="shared" ca="1" si="211"/>
        <v>0</v>
      </c>
      <c r="Y1470" s="276"/>
      <c r="Z1470" s="276"/>
      <c r="AB1470" s="278" t="str">
        <f t="shared" si="212"/>
        <v/>
      </c>
    </row>
    <row r="1471" spans="1:28" s="277" customFormat="1" ht="20.25">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10"/>
        <v/>
      </c>
      <c r="T1471" s="225" t="str">
        <f ca="1">IF(B1471="","",IF(ISERROR(MATCH($J1471,SorP!$B$1:$B$6230,0)),"",INDIRECT("'SorP'!$A$"&amp;MATCH($J1471,SorP!$B$1:$B$6230,0))))</f>
        <v/>
      </c>
      <c r="U1471" s="241"/>
      <c r="V1471" s="275" t="e">
        <f>IF(C1471="",NA(),MATCH($B1471&amp;$C1471,'Smelter Look-up'!$J:$J,0))</f>
        <v>#N/A</v>
      </c>
      <c r="W1471" s="276"/>
      <c r="X1471" s="276">
        <f t="shared" ca="1" si="211"/>
        <v>0</v>
      </c>
      <c r="Y1471" s="276"/>
      <c r="Z1471" s="276"/>
      <c r="AB1471" s="278" t="str">
        <f t="shared" si="212"/>
        <v/>
      </c>
    </row>
    <row r="1472" spans="1:28" s="277" customFormat="1" ht="20.25">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10"/>
        <v/>
      </c>
      <c r="T1472" s="225" t="str">
        <f ca="1">IF(B1472="","",IF(ISERROR(MATCH($J1472,SorP!$B$1:$B$6230,0)),"",INDIRECT("'SorP'!$A$"&amp;MATCH($J1472,SorP!$B$1:$B$6230,0))))</f>
        <v/>
      </c>
      <c r="U1472" s="241"/>
      <c r="V1472" s="275" t="e">
        <f>IF(C1472="",NA(),MATCH($B1472&amp;$C1472,'Smelter Look-up'!$J:$J,0))</f>
        <v>#N/A</v>
      </c>
      <c r="W1472" s="276"/>
      <c r="X1472" s="276">
        <f t="shared" ca="1" si="211"/>
        <v>0</v>
      </c>
      <c r="Y1472" s="276"/>
      <c r="Z1472" s="276"/>
      <c r="AB1472" s="278" t="str">
        <f t="shared" si="212"/>
        <v/>
      </c>
    </row>
    <row r="1473" spans="1:28" s="277" customFormat="1" ht="20.25">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10"/>
        <v/>
      </c>
      <c r="T1473" s="225" t="str">
        <f ca="1">IF(B1473="","",IF(ISERROR(MATCH($J1473,SorP!$B$1:$B$6230,0)),"",INDIRECT("'SorP'!$A$"&amp;MATCH($J1473,SorP!$B$1:$B$6230,0))))</f>
        <v/>
      </c>
      <c r="U1473" s="241"/>
      <c r="V1473" s="275" t="e">
        <f>IF(C1473="",NA(),MATCH($B1473&amp;$C1473,'Smelter Look-up'!$J:$J,0))</f>
        <v>#N/A</v>
      </c>
      <c r="W1473" s="276"/>
      <c r="X1473" s="276">
        <f t="shared" ca="1" si="211"/>
        <v>0</v>
      </c>
      <c r="Y1473" s="276"/>
      <c r="Z1473" s="276"/>
      <c r="AB1473" s="278" t="str">
        <f t="shared" si="212"/>
        <v/>
      </c>
    </row>
    <row r="1474" spans="1:28" s="277" customFormat="1" ht="20.25">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10"/>
        <v/>
      </c>
      <c r="T1474" s="225" t="str">
        <f ca="1">IF(B1474="","",IF(ISERROR(MATCH($J1474,SorP!$B$1:$B$6230,0)),"",INDIRECT("'SorP'!$A$"&amp;MATCH($J1474,SorP!$B$1:$B$6230,0))))</f>
        <v/>
      </c>
      <c r="U1474" s="241"/>
      <c r="V1474" s="275" t="e">
        <f>IF(C1474="",NA(),MATCH($B1474&amp;$C1474,'Smelter Look-up'!$J:$J,0))</f>
        <v>#N/A</v>
      </c>
      <c r="W1474" s="276"/>
      <c r="X1474" s="276">
        <f t="shared" ca="1" si="211"/>
        <v>0</v>
      </c>
      <c r="Y1474" s="276"/>
      <c r="Z1474" s="276"/>
      <c r="AB1474" s="278" t="str">
        <f t="shared" si="212"/>
        <v/>
      </c>
    </row>
    <row r="1475" spans="1:28" s="277" customFormat="1" ht="20.25">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10"/>
        <v/>
      </c>
      <c r="T1475" s="225" t="str">
        <f ca="1">IF(B1475="","",IF(ISERROR(MATCH($J1475,SorP!$B$1:$B$6230,0)),"",INDIRECT("'SorP'!$A$"&amp;MATCH($J1475,SorP!$B$1:$B$6230,0))))</f>
        <v/>
      </c>
      <c r="U1475" s="241"/>
      <c r="V1475" s="275" t="e">
        <f>IF(C1475="",NA(),MATCH($B1475&amp;$C1475,'Smelter Look-up'!$J:$J,0))</f>
        <v>#N/A</v>
      </c>
      <c r="W1475" s="276"/>
      <c r="X1475" s="276">
        <f t="shared" ca="1" si="211"/>
        <v>0</v>
      </c>
      <c r="Y1475" s="276"/>
      <c r="Z1475" s="276"/>
      <c r="AB1475" s="278" t="str">
        <f t="shared" si="212"/>
        <v/>
      </c>
    </row>
    <row r="1476" spans="1:28" s="277" customFormat="1" ht="20.25">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10"/>
        <v/>
      </c>
      <c r="T1476" s="225" t="str">
        <f ca="1">IF(B1476="","",IF(ISERROR(MATCH($J1476,SorP!$B$1:$B$6230,0)),"",INDIRECT("'SorP'!$A$"&amp;MATCH($J1476,SorP!$B$1:$B$6230,0))))</f>
        <v/>
      </c>
      <c r="U1476" s="241"/>
      <c r="V1476" s="275" t="e">
        <f>IF(C1476="",NA(),MATCH($B1476&amp;$C1476,'Smelter Look-up'!$J:$J,0))</f>
        <v>#N/A</v>
      </c>
      <c r="W1476" s="276"/>
      <c r="X1476" s="276">
        <f t="shared" ca="1" si="211"/>
        <v>0</v>
      </c>
      <c r="Y1476" s="276"/>
      <c r="Z1476" s="276"/>
      <c r="AB1476" s="278" t="str">
        <f t="shared" si="212"/>
        <v/>
      </c>
    </row>
    <row r="1477" spans="1:28" s="277" customFormat="1" ht="20.25">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10"/>
        <v/>
      </c>
      <c r="T1477" s="225" t="str">
        <f ca="1">IF(B1477="","",IF(ISERROR(MATCH($J1477,SorP!$B$1:$B$6230,0)),"",INDIRECT("'SorP'!$A$"&amp;MATCH($J1477,SorP!$B$1:$B$6230,0))))</f>
        <v/>
      </c>
      <c r="U1477" s="241"/>
      <c r="V1477" s="275" t="e">
        <f>IF(C1477="",NA(),MATCH($B1477&amp;$C1477,'Smelter Look-up'!$J:$J,0))</f>
        <v>#N/A</v>
      </c>
      <c r="W1477" s="276"/>
      <c r="X1477" s="276">
        <f t="shared" ca="1" si="211"/>
        <v>0</v>
      </c>
      <c r="Y1477" s="276"/>
      <c r="Z1477" s="276"/>
      <c r="AB1477" s="278" t="str">
        <f t="shared" si="212"/>
        <v/>
      </c>
    </row>
    <row r="1478" spans="1:28" s="277" customFormat="1" ht="20.25">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10"/>
        <v/>
      </c>
      <c r="T1478" s="225" t="str">
        <f ca="1">IF(B1478="","",IF(ISERROR(MATCH($J1478,SorP!$B$1:$B$6230,0)),"",INDIRECT("'SorP'!$A$"&amp;MATCH($J1478,SorP!$B$1:$B$6230,0))))</f>
        <v/>
      </c>
      <c r="U1478" s="241"/>
      <c r="V1478" s="275" t="e">
        <f>IF(C1478="",NA(),MATCH($B1478&amp;$C1478,'Smelter Look-up'!$J:$J,0))</f>
        <v>#N/A</v>
      </c>
      <c r="W1478" s="276"/>
      <c r="X1478" s="276">
        <f t="shared" ca="1" si="211"/>
        <v>0</v>
      </c>
      <c r="Y1478" s="276"/>
      <c r="Z1478" s="276"/>
      <c r="AB1478" s="278" t="str">
        <f t="shared" si="212"/>
        <v/>
      </c>
    </row>
    <row r="1479" spans="1:28" s="277" customFormat="1" ht="20.25">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10"/>
        <v/>
      </c>
      <c r="T1479" s="225" t="str">
        <f ca="1">IF(B1479="","",IF(ISERROR(MATCH($J1479,SorP!$B$1:$B$6230,0)),"",INDIRECT("'SorP'!$A$"&amp;MATCH($J1479,SorP!$B$1:$B$6230,0))))</f>
        <v/>
      </c>
      <c r="U1479" s="241"/>
      <c r="V1479" s="275" t="e">
        <f>IF(C1479="",NA(),MATCH($B1479&amp;$C1479,'Smelter Look-up'!$J:$J,0))</f>
        <v>#N/A</v>
      </c>
      <c r="W1479" s="276"/>
      <c r="X1479" s="276">
        <f t="shared" ca="1" si="211"/>
        <v>0</v>
      </c>
      <c r="Y1479" s="276"/>
      <c r="Z1479" s="276"/>
      <c r="AB1479" s="278" t="str">
        <f t="shared" si="212"/>
        <v/>
      </c>
    </row>
    <row r="1480" spans="1:28" s="277" customFormat="1" ht="20.25">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10"/>
        <v/>
      </c>
      <c r="T1480" s="225" t="str">
        <f ca="1">IF(B1480="","",IF(ISERROR(MATCH($J1480,SorP!$B$1:$B$6230,0)),"",INDIRECT("'SorP'!$A$"&amp;MATCH($J1480,SorP!$B$1:$B$6230,0))))</f>
        <v/>
      </c>
      <c r="U1480" s="241"/>
      <c r="V1480" s="275" t="e">
        <f>IF(C1480="",NA(),MATCH($B1480&amp;$C1480,'Smelter Look-up'!$J:$J,0))</f>
        <v>#N/A</v>
      </c>
      <c r="W1480" s="276"/>
      <c r="X1480" s="276">
        <f t="shared" ca="1" si="211"/>
        <v>0</v>
      </c>
      <c r="Y1480" s="276"/>
      <c r="Z1480" s="276"/>
      <c r="AB1480" s="278" t="str">
        <f t="shared" si="212"/>
        <v/>
      </c>
    </row>
    <row r="1481" spans="1:28" s="277" customFormat="1" ht="20.25">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10"/>
        <v/>
      </c>
      <c r="T1481" s="225" t="str">
        <f ca="1">IF(B1481="","",IF(ISERROR(MATCH($J1481,SorP!$B$1:$B$6230,0)),"",INDIRECT("'SorP'!$A$"&amp;MATCH($J1481,SorP!$B$1:$B$6230,0))))</f>
        <v/>
      </c>
      <c r="U1481" s="241"/>
      <c r="V1481" s="275" t="e">
        <f>IF(C1481="",NA(),MATCH($B1481&amp;$C1481,'Smelter Look-up'!$J:$J,0))</f>
        <v>#N/A</v>
      </c>
      <c r="W1481" s="276"/>
      <c r="X1481" s="276">
        <f t="shared" ca="1" si="211"/>
        <v>0</v>
      </c>
      <c r="Y1481" s="276"/>
      <c r="Z1481" s="276"/>
      <c r="AB1481" s="278" t="str">
        <f t="shared" si="212"/>
        <v/>
      </c>
    </row>
    <row r="1482" spans="1:28" s="277" customFormat="1" ht="20.25">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10"/>
        <v/>
      </c>
      <c r="T1482" s="225" t="str">
        <f ca="1">IF(B1482="","",IF(ISERROR(MATCH($J1482,SorP!$B$1:$B$6230,0)),"",INDIRECT("'SorP'!$A$"&amp;MATCH($J1482,SorP!$B$1:$B$6230,0))))</f>
        <v/>
      </c>
      <c r="U1482" s="241"/>
      <c r="V1482" s="275" t="e">
        <f>IF(C1482="",NA(),MATCH($B1482&amp;$C1482,'Smelter Look-up'!$J:$J,0))</f>
        <v>#N/A</v>
      </c>
      <c r="W1482" s="276"/>
      <c r="X1482" s="276">
        <f t="shared" ca="1" si="211"/>
        <v>0</v>
      </c>
      <c r="Y1482" s="276"/>
      <c r="Z1482" s="276"/>
      <c r="AB1482" s="278" t="str">
        <f t="shared" si="212"/>
        <v/>
      </c>
    </row>
    <row r="1483" spans="1:28" s="277" customFormat="1" ht="20.25">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10"/>
        <v/>
      </c>
      <c r="T1483" s="225" t="str">
        <f ca="1">IF(B1483="","",IF(ISERROR(MATCH($J1483,SorP!$B$1:$B$6230,0)),"",INDIRECT("'SorP'!$A$"&amp;MATCH($J1483,SorP!$B$1:$B$6230,0))))</f>
        <v/>
      </c>
      <c r="U1483" s="241"/>
      <c r="V1483" s="275" t="e">
        <f>IF(C1483="",NA(),MATCH($B1483&amp;$C1483,'Smelter Look-up'!$J:$J,0))</f>
        <v>#N/A</v>
      </c>
      <c r="W1483" s="276"/>
      <c r="X1483" s="276">
        <f t="shared" ca="1" si="211"/>
        <v>0</v>
      </c>
      <c r="Y1483" s="276"/>
      <c r="Z1483" s="276"/>
      <c r="AB1483" s="278" t="str">
        <f t="shared" si="212"/>
        <v/>
      </c>
    </row>
    <row r="1484" spans="1:28" s="277" customFormat="1" ht="20.25">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10"/>
        <v/>
      </c>
      <c r="T1484" s="225" t="str">
        <f ca="1">IF(B1484="","",IF(ISERROR(MATCH($J1484,SorP!$B$1:$B$6230,0)),"",INDIRECT("'SorP'!$A$"&amp;MATCH($J1484,SorP!$B$1:$B$6230,0))))</f>
        <v/>
      </c>
      <c r="U1484" s="241"/>
      <c r="V1484" s="275" t="e">
        <f>IF(C1484="",NA(),MATCH($B1484&amp;$C1484,'Smelter Look-up'!$J:$J,0))</f>
        <v>#N/A</v>
      </c>
      <c r="W1484" s="276"/>
      <c r="X1484" s="276">
        <f t="shared" ca="1" si="211"/>
        <v>0</v>
      </c>
      <c r="Y1484" s="276"/>
      <c r="Z1484" s="276"/>
      <c r="AB1484" s="278" t="str">
        <f t="shared" si="212"/>
        <v/>
      </c>
    </row>
    <row r="1485" spans="1:28" s="277" customFormat="1" ht="20.25">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10"/>
        <v/>
      </c>
      <c r="T1485" s="225" t="str">
        <f ca="1">IF(B1485="","",IF(ISERROR(MATCH($J1485,SorP!$B$1:$B$6230,0)),"",INDIRECT("'SorP'!$A$"&amp;MATCH($J1485,SorP!$B$1:$B$6230,0))))</f>
        <v/>
      </c>
      <c r="U1485" s="241"/>
      <c r="V1485" s="275" t="e">
        <f>IF(C1485="",NA(),MATCH($B1485&amp;$C1485,'Smelter Look-up'!$J:$J,0))</f>
        <v>#N/A</v>
      </c>
      <c r="W1485" s="276"/>
      <c r="X1485" s="276">
        <f t="shared" ca="1" si="211"/>
        <v>0</v>
      </c>
      <c r="Y1485" s="276"/>
      <c r="Z1485" s="276"/>
      <c r="AB1485" s="278" t="str">
        <f t="shared" si="212"/>
        <v/>
      </c>
    </row>
    <row r="1486" spans="1:28" s="277" customFormat="1" ht="20.25">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10"/>
        <v/>
      </c>
      <c r="T1486" s="225" t="str">
        <f ca="1">IF(B1486="","",IF(ISERROR(MATCH($J1486,SorP!$B$1:$B$6230,0)),"",INDIRECT("'SorP'!$A$"&amp;MATCH($J1486,SorP!$B$1:$B$6230,0))))</f>
        <v/>
      </c>
      <c r="U1486" s="241"/>
      <c r="V1486" s="275" t="e">
        <f>IF(C1486="",NA(),MATCH($B1486&amp;$C1486,'Smelter Look-up'!$J:$J,0))</f>
        <v>#N/A</v>
      </c>
      <c r="W1486" s="276"/>
      <c r="X1486" s="276">
        <f t="shared" ca="1" si="211"/>
        <v>0</v>
      </c>
      <c r="Y1486" s="276"/>
      <c r="Z1486" s="276"/>
      <c r="AB1486" s="278" t="str">
        <f t="shared" si="212"/>
        <v/>
      </c>
    </row>
    <row r="1487" spans="1:28" s="277" customFormat="1" ht="20.25">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10"/>
        <v/>
      </c>
      <c r="T1487" s="225" t="str">
        <f ca="1">IF(B1487="","",IF(ISERROR(MATCH($J1487,SorP!$B$1:$B$6230,0)),"",INDIRECT("'SorP'!$A$"&amp;MATCH($J1487,SorP!$B$1:$B$6230,0))))</f>
        <v/>
      </c>
      <c r="U1487" s="241"/>
      <c r="V1487" s="275" t="e">
        <f>IF(C1487="",NA(),MATCH($B1487&amp;$C1487,'Smelter Look-up'!$J:$J,0))</f>
        <v>#N/A</v>
      </c>
      <c r="W1487" s="276"/>
      <c r="X1487" s="276">
        <f t="shared" ca="1" si="211"/>
        <v>0</v>
      </c>
      <c r="Y1487" s="276"/>
      <c r="Z1487" s="276"/>
      <c r="AB1487" s="278" t="str">
        <f t="shared" si="212"/>
        <v/>
      </c>
    </row>
    <row r="1488" spans="1:28" s="277" customFormat="1" ht="20.25">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210"/>
        <v/>
      </c>
      <c r="T1488" s="225" t="str">
        <f ca="1">IF(B1488="","",IF(ISERROR(MATCH($J1488,SorP!$B$1:$B$6230,0)),"",INDIRECT("'SorP'!$A$"&amp;MATCH($J1488,SorP!$B$1:$B$6230,0))))</f>
        <v/>
      </c>
      <c r="U1488" s="241"/>
      <c r="V1488" s="275" t="e">
        <f>IF(C1488="",NA(),MATCH($B1488&amp;$C1488,'Smelter Look-up'!$J:$J,0))</f>
        <v>#N/A</v>
      </c>
      <c r="W1488" s="276"/>
      <c r="X1488" s="276">
        <f t="shared" ca="1" si="211"/>
        <v>0</v>
      </c>
      <c r="Y1488" s="276"/>
      <c r="Z1488" s="276"/>
      <c r="AB1488" s="278" t="str">
        <f t="shared" si="212"/>
        <v/>
      </c>
    </row>
    <row r="1489" spans="1:28" s="277" customFormat="1" ht="20.25">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10"/>
        <v/>
      </c>
      <c r="T1489" s="225" t="str">
        <f ca="1">IF(B1489="","",IF(ISERROR(MATCH($J1489,SorP!$B$1:$B$6230,0)),"",INDIRECT("'SorP'!$A$"&amp;MATCH($J1489,SorP!$B$1:$B$6230,0))))</f>
        <v/>
      </c>
      <c r="U1489" s="241"/>
      <c r="V1489" s="275" t="e">
        <f>IF(C1489="",NA(),MATCH($B1489&amp;$C1489,'Smelter Look-up'!$J:$J,0))</f>
        <v>#N/A</v>
      </c>
      <c r="W1489" s="276"/>
      <c r="X1489" s="276">
        <f t="shared" ca="1" si="211"/>
        <v>0</v>
      </c>
      <c r="Y1489" s="276"/>
      <c r="Z1489" s="276"/>
      <c r="AB1489" s="278" t="str">
        <f t="shared" si="212"/>
        <v/>
      </c>
    </row>
    <row r="1490" spans="1:28" s="277" customFormat="1" ht="20.25">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210"/>
        <v/>
      </c>
      <c r="T1490" s="225" t="str">
        <f ca="1">IF(B1490="","",IF(ISERROR(MATCH($J1490,SorP!$B$1:$B$6230,0)),"",INDIRECT("'SorP'!$A$"&amp;MATCH($J1490,SorP!$B$1:$B$6230,0))))</f>
        <v/>
      </c>
      <c r="U1490" s="241"/>
      <c r="V1490" s="275" t="e">
        <f>IF(C1490="",NA(),MATCH($B1490&amp;$C1490,'Smelter Look-up'!$J:$J,0))</f>
        <v>#N/A</v>
      </c>
      <c r="W1490" s="276"/>
      <c r="X1490" s="276">
        <f t="shared" ca="1" si="211"/>
        <v>0</v>
      </c>
      <c r="Y1490" s="276"/>
      <c r="Z1490" s="276"/>
      <c r="AB1490" s="278" t="str">
        <f t="shared" si="212"/>
        <v/>
      </c>
    </row>
    <row r="1491" spans="1:28" s="277" customFormat="1" ht="20.25">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10"/>
        <v/>
      </c>
      <c r="T1491" s="225" t="str">
        <f ca="1">IF(B1491="","",IF(ISERROR(MATCH($J1491,SorP!$B$1:$B$6230,0)),"",INDIRECT("'SorP'!$A$"&amp;MATCH($J1491,SorP!$B$1:$B$6230,0))))</f>
        <v/>
      </c>
      <c r="U1491" s="241"/>
      <c r="V1491" s="275" t="e">
        <f>IF(C1491="",NA(),MATCH($B1491&amp;$C1491,'Smelter Look-up'!$J:$J,0))</f>
        <v>#N/A</v>
      </c>
      <c r="W1491" s="276"/>
      <c r="X1491" s="276">
        <f t="shared" ca="1" si="211"/>
        <v>0</v>
      </c>
      <c r="Y1491" s="276"/>
      <c r="Z1491" s="276"/>
      <c r="AB1491" s="278" t="str">
        <f t="shared" si="212"/>
        <v/>
      </c>
    </row>
    <row r="1492" spans="1:28" s="277" customFormat="1" ht="20.25">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10"/>
        <v/>
      </c>
      <c r="T1492" s="225" t="str">
        <f ca="1">IF(B1492="","",IF(ISERROR(MATCH($J1492,SorP!$B$1:$B$6230,0)),"",INDIRECT("'SorP'!$A$"&amp;MATCH($J1492,SorP!$B$1:$B$6230,0))))</f>
        <v/>
      </c>
      <c r="U1492" s="241"/>
      <c r="V1492" s="275" t="e">
        <f>IF(C1492="",NA(),MATCH($B1492&amp;$C1492,'Smelter Look-up'!$J:$J,0))</f>
        <v>#N/A</v>
      </c>
      <c r="W1492" s="276"/>
      <c r="X1492" s="276">
        <f t="shared" ca="1" si="211"/>
        <v>0</v>
      </c>
      <c r="Y1492" s="276"/>
      <c r="Z1492" s="276"/>
      <c r="AB1492" s="278" t="str">
        <f t="shared" si="212"/>
        <v/>
      </c>
    </row>
    <row r="1493" spans="1:28" s="277" customFormat="1" ht="20.25">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10"/>
        <v/>
      </c>
      <c r="T1493" s="225" t="str">
        <f ca="1">IF(B1493="","",IF(ISERROR(MATCH($J1493,SorP!$B$1:$B$6230,0)),"",INDIRECT("'SorP'!$A$"&amp;MATCH($J1493,SorP!$B$1:$B$6230,0))))</f>
        <v/>
      </c>
      <c r="U1493" s="241"/>
      <c r="V1493" s="275" t="e">
        <f>IF(C1493="",NA(),MATCH($B1493&amp;$C1493,'Smelter Look-up'!$J:$J,0))</f>
        <v>#N/A</v>
      </c>
      <c r="W1493" s="276"/>
      <c r="X1493" s="276">
        <f t="shared" ca="1" si="211"/>
        <v>0</v>
      </c>
      <c r="Y1493" s="276"/>
      <c r="Z1493" s="276"/>
      <c r="AB1493" s="278" t="str">
        <f t="shared" si="212"/>
        <v/>
      </c>
    </row>
    <row r="1494" spans="1:28" s="277" customFormat="1" ht="20.25">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10"/>
        <v/>
      </c>
      <c r="T1494" s="225" t="str">
        <f ca="1">IF(B1494="","",IF(ISERROR(MATCH($J1494,SorP!$B$1:$B$6230,0)),"",INDIRECT("'SorP'!$A$"&amp;MATCH($J1494,SorP!$B$1:$B$6230,0))))</f>
        <v/>
      </c>
      <c r="U1494" s="241"/>
      <c r="V1494" s="275" t="e">
        <f>IF(C1494="",NA(),MATCH($B1494&amp;$C1494,'Smelter Look-up'!$J:$J,0))</f>
        <v>#N/A</v>
      </c>
      <c r="W1494" s="276"/>
      <c r="X1494" s="276">
        <f t="shared" ca="1" si="211"/>
        <v>0</v>
      </c>
      <c r="Y1494" s="276"/>
      <c r="Z1494" s="276"/>
      <c r="AB1494" s="278" t="str">
        <f t="shared" si="212"/>
        <v/>
      </c>
    </row>
    <row r="1495" spans="1:28" s="277" customFormat="1" ht="20.25">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10"/>
        <v/>
      </c>
      <c r="T1495" s="225" t="str">
        <f ca="1">IF(B1495="","",IF(ISERROR(MATCH($J1495,SorP!$B$1:$B$6230,0)),"",INDIRECT("'SorP'!$A$"&amp;MATCH($J1495,SorP!$B$1:$B$6230,0))))</f>
        <v/>
      </c>
      <c r="U1495" s="241"/>
      <c r="V1495" s="275" t="e">
        <f>IF(C1495="",NA(),MATCH($B1495&amp;$C1495,'Smelter Look-up'!$J:$J,0))</f>
        <v>#N/A</v>
      </c>
      <c r="W1495" s="276"/>
      <c r="X1495" s="276">
        <f t="shared" ca="1" si="211"/>
        <v>0</v>
      </c>
      <c r="Y1495" s="276"/>
      <c r="Z1495" s="276"/>
      <c r="AB1495" s="278" t="str">
        <f t="shared" si="212"/>
        <v/>
      </c>
    </row>
    <row r="1496" spans="1:28" s="277" customFormat="1" ht="20.25">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10"/>
        <v/>
      </c>
      <c r="T1496" s="225" t="str">
        <f ca="1">IF(B1496="","",IF(ISERROR(MATCH($J1496,SorP!$B$1:$B$6230,0)),"",INDIRECT("'SorP'!$A$"&amp;MATCH($J1496,SorP!$B$1:$B$6230,0))))</f>
        <v/>
      </c>
      <c r="U1496" s="241"/>
      <c r="V1496" s="275" t="e">
        <f>IF(C1496="",NA(),MATCH($B1496&amp;$C1496,'Smelter Look-up'!$J:$J,0))</f>
        <v>#N/A</v>
      </c>
      <c r="W1496" s="276"/>
      <c r="X1496" s="276">
        <f t="shared" ca="1" si="211"/>
        <v>0</v>
      </c>
      <c r="Y1496" s="276"/>
      <c r="Z1496" s="276"/>
      <c r="AB1496" s="278" t="str">
        <f t="shared" si="212"/>
        <v/>
      </c>
    </row>
    <row r="1497" spans="1:28" s="277" customFormat="1" ht="20.25">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10"/>
        <v/>
      </c>
      <c r="T1497" s="225" t="str">
        <f ca="1">IF(B1497="","",IF(ISERROR(MATCH($J1497,SorP!$B$1:$B$6230,0)),"",INDIRECT("'SorP'!$A$"&amp;MATCH($J1497,SorP!$B$1:$B$6230,0))))</f>
        <v/>
      </c>
      <c r="U1497" s="241"/>
      <c r="V1497" s="275" t="e">
        <f>IF(C1497="",NA(),MATCH($B1497&amp;$C1497,'Smelter Look-up'!$J:$J,0))</f>
        <v>#N/A</v>
      </c>
      <c r="W1497" s="276"/>
      <c r="X1497" s="276">
        <f t="shared" ca="1" si="211"/>
        <v>0</v>
      </c>
      <c r="Y1497" s="276"/>
      <c r="Z1497" s="276"/>
      <c r="AB1497" s="278" t="str">
        <f t="shared" si="212"/>
        <v/>
      </c>
    </row>
    <row r="1498" spans="1:28" s="277" customFormat="1" ht="20.25">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10"/>
        <v/>
      </c>
      <c r="T1498" s="225" t="str">
        <f ca="1">IF(B1498="","",IF(ISERROR(MATCH($J1498,SorP!$B$1:$B$6230,0)),"",INDIRECT("'SorP'!$A$"&amp;MATCH($J1498,SorP!$B$1:$B$6230,0))))</f>
        <v/>
      </c>
      <c r="U1498" s="241"/>
      <c r="V1498" s="275" t="e">
        <f>IF(C1498="",NA(),MATCH($B1498&amp;$C1498,'Smelter Look-up'!$J:$J,0))</f>
        <v>#N/A</v>
      </c>
      <c r="W1498" s="276"/>
      <c r="X1498" s="276">
        <f t="shared" ca="1" si="211"/>
        <v>0</v>
      </c>
      <c r="Y1498" s="276"/>
      <c r="Z1498" s="276"/>
      <c r="AB1498" s="278" t="str">
        <f t="shared" si="212"/>
        <v/>
      </c>
    </row>
    <row r="1499" spans="1:28" s="277" customFormat="1" ht="20.25">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210"/>
        <v/>
      </c>
      <c r="T1499" s="225" t="str">
        <f ca="1">IF(B1499="","",IF(ISERROR(MATCH($J1499,SorP!$B$1:$B$6230,0)),"",INDIRECT("'SorP'!$A$"&amp;MATCH($J1499,SorP!$B$1:$B$6230,0))))</f>
        <v/>
      </c>
      <c r="U1499" s="241"/>
      <c r="V1499" s="275" t="e">
        <f>IF(C1499="",NA(),MATCH($B1499&amp;$C1499,'Smelter Look-up'!$J:$J,0))</f>
        <v>#N/A</v>
      </c>
      <c r="W1499" s="276"/>
      <c r="X1499" s="276">
        <f t="shared" ca="1" si="211"/>
        <v>0</v>
      </c>
      <c r="Y1499" s="276"/>
      <c r="Z1499" s="276"/>
      <c r="AB1499" s="278" t="str">
        <f t="shared" si="212"/>
        <v/>
      </c>
    </row>
    <row r="1500" spans="1:28" s="277" customFormat="1" ht="20.25">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ref="S1500:S1530" ca="1" si="213">IF(B1500="","",IF(ISERROR(MATCH($E1500,CL,0)),"Unknown",INDIRECT("'C'!$A$"&amp;MATCH($E1500,CL,0)+1)))</f>
        <v/>
      </c>
      <c r="T1500" s="225" t="str">
        <f ca="1">IF(B1500="","",IF(ISERROR(MATCH($J1500,SorP!$B$1:$B$6230,0)),"",INDIRECT("'SorP'!$A$"&amp;MATCH($J1500,SorP!$B$1:$B$6230,0))))</f>
        <v/>
      </c>
      <c r="U1500" s="241"/>
      <c r="V1500" s="275" t="e">
        <f>IF(C1500="",NA(),MATCH($B1500&amp;$C1500,'Smelter Look-up'!$J:$J,0))</f>
        <v>#N/A</v>
      </c>
      <c r="W1500" s="276"/>
      <c r="X1500" s="276">
        <f t="shared" ref="X1500:X1530" ca="1" si="214">IF(AND(C1500="Smelter not listed",OR(LEN(D1500)=0,LEN(E1500)=0)),1,0)</f>
        <v>0</v>
      </c>
      <c r="Y1500" s="276"/>
      <c r="Z1500" s="276"/>
      <c r="AB1500" s="278" t="str">
        <f t="shared" ref="AB1500:AB1530" si="215">B1500&amp;C1500</f>
        <v/>
      </c>
    </row>
    <row r="1501" spans="1:28" s="277" customFormat="1" ht="20.25">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13"/>
        <v/>
      </c>
      <c r="T1501" s="225" t="str">
        <f ca="1">IF(B1501="","",IF(ISERROR(MATCH($J1501,SorP!$B$1:$B$6230,0)),"",INDIRECT("'SorP'!$A$"&amp;MATCH($J1501,SorP!$B$1:$B$6230,0))))</f>
        <v/>
      </c>
      <c r="U1501" s="241"/>
      <c r="V1501" s="275" t="e">
        <f>IF(C1501="",NA(),MATCH($B1501&amp;$C1501,'Smelter Look-up'!$J:$J,0))</f>
        <v>#N/A</v>
      </c>
      <c r="W1501" s="276"/>
      <c r="X1501" s="276">
        <f t="shared" ca="1" si="214"/>
        <v>0</v>
      </c>
      <c r="Y1501" s="276"/>
      <c r="Z1501" s="276"/>
      <c r="AB1501" s="278" t="str">
        <f t="shared" si="215"/>
        <v/>
      </c>
    </row>
    <row r="1502" spans="1:28" s="277" customFormat="1" ht="20.25">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13"/>
        <v/>
      </c>
      <c r="T1502" s="225" t="str">
        <f ca="1">IF(B1502="","",IF(ISERROR(MATCH($J1502,SorP!$B$1:$B$6230,0)),"",INDIRECT("'SorP'!$A$"&amp;MATCH($J1502,SorP!$B$1:$B$6230,0))))</f>
        <v/>
      </c>
      <c r="U1502" s="241"/>
      <c r="V1502" s="275" t="e">
        <f>IF(C1502="",NA(),MATCH($B1502&amp;$C1502,'Smelter Look-up'!$J:$J,0))</f>
        <v>#N/A</v>
      </c>
      <c r="W1502" s="276"/>
      <c r="X1502" s="276">
        <f t="shared" ca="1" si="214"/>
        <v>0</v>
      </c>
      <c r="Y1502" s="276"/>
      <c r="Z1502" s="276"/>
      <c r="AB1502" s="278" t="str">
        <f t="shared" si="215"/>
        <v/>
      </c>
    </row>
    <row r="1503" spans="1:28" s="277" customFormat="1" ht="20.25">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13"/>
        <v/>
      </c>
      <c r="T1503" s="225" t="str">
        <f ca="1">IF(B1503="","",IF(ISERROR(MATCH($J1503,SorP!$B$1:$B$6230,0)),"",INDIRECT("'SorP'!$A$"&amp;MATCH($J1503,SorP!$B$1:$B$6230,0))))</f>
        <v/>
      </c>
      <c r="U1503" s="241"/>
      <c r="V1503" s="275" t="e">
        <f>IF(C1503="",NA(),MATCH($B1503&amp;$C1503,'Smelter Look-up'!$J:$J,0))</f>
        <v>#N/A</v>
      </c>
      <c r="W1503" s="276"/>
      <c r="X1503" s="276">
        <f t="shared" ca="1" si="214"/>
        <v>0</v>
      </c>
      <c r="Y1503" s="276"/>
      <c r="Z1503" s="276"/>
      <c r="AB1503" s="278" t="str">
        <f t="shared" si="215"/>
        <v/>
      </c>
    </row>
    <row r="1504" spans="1:28" s="277" customFormat="1" ht="20.25">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13"/>
        <v/>
      </c>
      <c r="T1504" s="225" t="str">
        <f ca="1">IF(B1504="","",IF(ISERROR(MATCH($J1504,SorP!$B$1:$B$6230,0)),"",INDIRECT("'SorP'!$A$"&amp;MATCH($J1504,SorP!$B$1:$B$6230,0))))</f>
        <v/>
      </c>
      <c r="U1504" s="241"/>
      <c r="V1504" s="275" t="e">
        <f>IF(C1504="",NA(),MATCH($B1504&amp;$C1504,'Smelter Look-up'!$J:$J,0))</f>
        <v>#N/A</v>
      </c>
      <c r="W1504" s="276"/>
      <c r="X1504" s="276">
        <f t="shared" ca="1" si="214"/>
        <v>0</v>
      </c>
      <c r="Y1504" s="276"/>
      <c r="Z1504" s="276"/>
      <c r="AB1504" s="278" t="str">
        <f t="shared" si="215"/>
        <v/>
      </c>
    </row>
    <row r="1505" spans="1:28" s="277" customFormat="1" ht="20.25">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13"/>
        <v/>
      </c>
      <c r="T1505" s="225" t="str">
        <f ca="1">IF(B1505="","",IF(ISERROR(MATCH($J1505,SorP!$B$1:$B$6230,0)),"",INDIRECT("'SorP'!$A$"&amp;MATCH($J1505,SorP!$B$1:$B$6230,0))))</f>
        <v/>
      </c>
      <c r="U1505" s="241"/>
      <c r="V1505" s="275" t="e">
        <f>IF(C1505="",NA(),MATCH($B1505&amp;$C1505,'Smelter Look-up'!$J:$J,0))</f>
        <v>#N/A</v>
      </c>
      <c r="W1505" s="276"/>
      <c r="X1505" s="276">
        <f t="shared" ca="1" si="214"/>
        <v>0</v>
      </c>
      <c r="Y1505" s="276"/>
      <c r="Z1505" s="276"/>
      <c r="AB1505" s="278" t="str">
        <f t="shared" si="215"/>
        <v/>
      </c>
    </row>
    <row r="1506" spans="1:28" s="277" customFormat="1" ht="20.25">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13"/>
        <v/>
      </c>
      <c r="T1506" s="225" t="str">
        <f ca="1">IF(B1506="","",IF(ISERROR(MATCH($J1506,SorP!$B$1:$B$6230,0)),"",INDIRECT("'SorP'!$A$"&amp;MATCH($J1506,SorP!$B$1:$B$6230,0))))</f>
        <v/>
      </c>
      <c r="U1506" s="241"/>
      <c r="V1506" s="275" t="e">
        <f>IF(C1506="",NA(),MATCH($B1506&amp;$C1506,'Smelter Look-up'!$J:$J,0))</f>
        <v>#N/A</v>
      </c>
      <c r="W1506" s="276"/>
      <c r="X1506" s="276">
        <f t="shared" ca="1" si="214"/>
        <v>0</v>
      </c>
      <c r="Y1506" s="276"/>
      <c r="Z1506" s="276"/>
      <c r="AB1506" s="278" t="str">
        <f t="shared" si="215"/>
        <v/>
      </c>
    </row>
    <row r="1507" spans="1:28" s="277" customFormat="1" ht="20.25">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13"/>
        <v/>
      </c>
      <c r="T1507" s="225" t="str">
        <f ca="1">IF(B1507="","",IF(ISERROR(MATCH($J1507,SorP!$B$1:$B$6230,0)),"",INDIRECT("'SorP'!$A$"&amp;MATCH($J1507,SorP!$B$1:$B$6230,0))))</f>
        <v/>
      </c>
      <c r="U1507" s="241"/>
      <c r="V1507" s="275" t="e">
        <f>IF(C1507="",NA(),MATCH($B1507&amp;$C1507,'Smelter Look-up'!$J:$J,0))</f>
        <v>#N/A</v>
      </c>
      <c r="W1507" s="276"/>
      <c r="X1507" s="276">
        <f t="shared" ca="1" si="214"/>
        <v>0</v>
      </c>
      <c r="Y1507" s="276"/>
      <c r="Z1507" s="276"/>
      <c r="AB1507" s="278" t="str">
        <f t="shared" si="215"/>
        <v/>
      </c>
    </row>
    <row r="1508" spans="1:28" s="277" customFormat="1" ht="20.25">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13"/>
        <v/>
      </c>
      <c r="T1508" s="225" t="str">
        <f ca="1">IF(B1508="","",IF(ISERROR(MATCH($J1508,SorP!$B$1:$B$6230,0)),"",INDIRECT("'SorP'!$A$"&amp;MATCH($J1508,SorP!$B$1:$B$6230,0))))</f>
        <v/>
      </c>
      <c r="U1508" s="241"/>
      <c r="V1508" s="275" t="e">
        <f>IF(C1508="",NA(),MATCH($B1508&amp;$C1508,'Smelter Look-up'!$J:$J,0))</f>
        <v>#N/A</v>
      </c>
      <c r="W1508" s="276"/>
      <c r="X1508" s="276">
        <f t="shared" ca="1" si="214"/>
        <v>0</v>
      </c>
      <c r="Y1508" s="276"/>
      <c r="Z1508" s="276"/>
      <c r="AB1508" s="278" t="str">
        <f t="shared" si="215"/>
        <v/>
      </c>
    </row>
    <row r="1509" spans="1:28" s="277" customFormat="1" ht="20.25">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13"/>
        <v/>
      </c>
      <c r="T1509" s="225" t="str">
        <f ca="1">IF(B1509="","",IF(ISERROR(MATCH($J1509,SorP!$B$1:$B$6230,0)),"",INDIRECT("'SorP'!$A$"&amp;MATCH($J1509,SorP!$B$1:$B$6230,0))))</f>
        <v/>
      </c>
      <c r="U1509" s="241"/>
      <c r="V1509" s="275" t="e">
        <f>IF(C1509="",NA(),MATCH($B1509&amp;$C1509,'Smelter Look-up'!$J:$J,0))</f>
        <v>#N/A</v>
      </c>
      <c r="W1509" s="276"/>
      <c r="X1509" s="276">
        <f t="shared" ca="1" si="214"/>
        <v>0</v>
      </c>
      <c r="Y1509" s="276"/>
      <c r="Z1509" s="276"/>
      <c r="AB1509" s="278" t="str">
        <f t="shared" si="215"/>
        <v/>
      </c>
    </row>
    <row r="1510" spans="1:28" s="277" customFormat="1" ht="20.25">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13"/>
        <v/>
      </c>
      <c r="T1510" s="225" t="str">
        <f ca="1">IF(B1510="","",IF(ISERROR(MATCH($J1510,SorP!$B$1:$B$6230,0)),"",INDIRECT("'SorP'!$A$"&amp;MATCH($J1510,SorP!$B$1:$B$6230,0))))</f>
        <v/>
      </c>
      <c r="U1510" s="241"/>
      <c r="V1510" s="275" t="e">
        <f>IF(C1510="",NA(),MATCH($B1510&amp;$C1510,'Smelter Look-up'!$J:$J,0))</f>
        <v>#N/A</v>
      </c>
      <c r="W1510" s="276"/>
      <c r="X1510" s="276">
        <f t="shared" ca="1" si="214"/>
        <v>0</v>
      </c>
      <c r="Y1510" s="276"/>
      <c r="Z1510" s="276"/>
      <c r="AB1510" s="278" t="str">
        <f t="shared" si="215"/>
        <v/>
      </c>
    </row>
    <row r="1511" spans="1:28" s="277" customFormat="1" ht="20.25">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13"/>
        <v/>
      </c>
      <c r="T1511" s="225" t="str">
        <f ca="1">IF(B1511="","",IF(ISERROR(MATCH($J1511,SorP!$B$1:$B$6230,0)),"",INDIRECT("'SorP'!$A$"&amp;MATCH($J1511,SorP!$B$1:$B$6230,0))))</f>
        <v/>
      </c>
      <c r="U1511" s="241"/>
      <c r="V1511" s="275" t="e">
        <f>IF(C1511="",NA(),MATCH($B1511&amp;$C1511,'Smelter Look-up'!$J:$J,0))</f>
        <v>#N/A</v>
      </c>
      <c r="W1511" s="276"/>
      <c r="X1511" s="276">
        <f t="shared" ca="1" si="214"/>
        <v>0</v>
      </c>
      <c r="Y1511" s="276"/>
      <c r="Z1511" s="276"/>
      <c r="AB1511" s="278" t="str">
        <f t="shared" si="215"/>
        <v/>
      </c>
    </row>
    <row r="1512" spans="1:28" s="277" customFormat="1" ht="20.25">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13"/>
        <v/>
      </c>
      <c r="T1512" s="225" t="str">
        <f ca="1">IF(B1512="","",IF(ISERROR(MATCH($J1512,SorP!$B$1:$B$6230,0)),"",INDIRECT("'SorP'!$A$"&amp;MATCH($J1512,SorP!$B$1:$B$6230,0))))</f>
        <v/>
      </c>
      <c r="U1512" s="241"/>
      <c r="V1512" s="275" t="e">
        <f>IF(C1512="",NA(),MATCH($B1512&amp;$C1512,'Smelter Look-up'!$J:$J,0))</f>
        <v>#N/A</v>
      </c>
      <c r="W1512" s="276"/>
      <c r="X1512" s="276">
        <f t="shared" ca="1" si="214"/>
        <v>0</v>
      </c>
      <c r="Y1512" s="276"/>
      <c r="Z1512" s="276"/>
      <c r="AB1512" s="278" t="str">
        <f t="shared" si="215"/>
        <v/>
      </c>
    </row>
    <row r="1513" spans="1:28" s="277" customFormat="1" ht="20.25">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13"/>
        <v/>
      </c>
      <c r="T1513" s="225" t="str">
        <f ca="1">IF(B1513="","",IF(ISERROR(MATCH($J1513,SorP!$B$1:$B$6230,0)),"",INDIRECT("'SorP'!$A$"&amp;MATCH($J1513,SorP!$B$1:$B$6230,0))))</f>
        <v/>
      </c>
      <c r="U1513" s="241"/>
      <c r="V1513" s="275" t="e">
        <f>IF(C1513="",NA(),MATCH($B1513&amp;$C1513,'Smelter Look-up'!$J:$J,0))</f>
        <v>#N/A</v>
      </c>
      <c r="W1513" s="276"/>
      <c r="X1513" s="276">
        <f t="shared" ca="1" si="214"/>
        <v>0</v>
      </c>
      <c r="Y1513" s="276"/>
      <c r="Z1513" s="276"/>
      <c r="AB1513" s="278" t="str">
        <f t="shared" si="215"/>
        <v/>
      </c>
    </row>
    <row r="1514" spans="1:28" s="277" customFormat="1" ht="20.25">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13"/>
        <v/>
      </c>
      <c r="T1514" s="225" t="str">
        <f ca="1">IF(B1514="","",IF(ISERROR(MATCH($J1514,SorP!$B$1:$B$6230,0)),"",INDIRECT("'SorP'!$A$"&amp;MATCH($J1514,SorP!$B$1:$B$6230,0))))</f>
        <v/>
      </c>
      <c r="U1514" s="241"/>
      <c r="V1514" s="275" t="e">
        <f>IF(C1514="",NA(),MATCH($B1514&amp;$C1514,'Smelter Look-up'!$J:$J,0))</f>
        <v>#N/A</v>
      </c>
      <c r="W1514" s="276"/>
      <c r="X1514" s="276">
        <f t="shared" ca="1" si="214"/>
        <v>0</v>
      </c>
      <c r="Y1514" s="276"/>
      <c r="Z1514" s="276"/>
      <c r="AB1514" s="278" t="str">
        <f t="shared" si="215"/>
        <v/>
      </c>
    </row>
    <row r="1515" spans="1:28" s="277" customFormat="1" ht="20.25">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13"/>
        <v/>
      </c>
      <c r="T1515" s="225" t="str">
        <f ca="1">IF(B1515="","",IF(ISERROR(MATCH($J1515,SorP!$B$1:$B$6230,0)),"",INDIRECT("'SorP'!$A$"&amp;MATCH($J1515,SorP!$B$1:$B$6230,0))))</f>
        <v/>
      </c>
      <c r="U1515" s="241"/>
      <c r="V1515" s="275" t="e">
        <f>IF(C1515="",NA(),MATCH($B1515&amp;$C1515,'Smelter Look-up'!$J:$J,0))</f>
        <v>#N/A</v>
      </c>
      <c r="W1515" s="276"/>
      <c r="X1515" s="276">
        <f t="shared" ca="1" si="214"/>
        <v>0</v>
      </c>
      <c r="Y1515" s="276"/>
      <c r="Z1515" s="276"/>
      <c r="AB1515" s="278" t="str">
        <f t="shared" si="215"/>
        <v/>
      </c>
    </row>
    <row r="1516" spans="1:28" s="277" customFormat="1" ht="20.25">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13"/>
        <v/>
      </c>
      <c r="T1516" s="225" t="str">
        <f ca="1">IF(B1516="","",IF(ISERROR(MATCH($J1516,SorP!$B$1:$B$6230,0)),"",INDIRECT("'SorP'!$A$"&amp;MATCH($J1516,SorP!$B$1:$B$6230,0))))</f>
        <v/>
      </c>
      <c r="U1516" s="241"/>
      <c r="V1516" s="275" t="e">
        <f>IF(C1516="",NA(),MATCH($B1516&amp;$C1516,'Smelter Look-up'!$J:$J,0))</f>
        <v>#N/A</v>
      </c>
      <c r="W1516" s="276"/>
      <c r="X1516" s="276">
        <f t="shared" ca="1" si="214"/>
        <v>0</v>
      </c>
      <c r="Y1516" s="276"/>
      <c r="Z1516" s="276"/>
      <c r="AB1516" s="278" t="str">
        <f t="shared" si="215"/>
        <v/>
      </c>
    </row>
    <row r="1517" spans="1:28" s="277" customFormat="1" ht="20.25">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13"/>
        <v/>
      </c>
      <c r="T1517" s="225" t="str">
        <f ca="1">IF(B1517="","",IF(ISERROR(MATCH($J1517,SorP!$B$1:$B$6230,0)),"",INDIRECT("'SorP'!$A$"&amp;MATCH($J1517,SorP!$B$1:$B$6230,0))))</f>
        <v/>
      </c>
      <c r="U1517" s="241"/>
      <c r="V1517" s="275" t="e">
        <f>IF(C1517="",NA(),MATCH($B1517&amp;$C1517,'Smelter Look-up'!$J:$J,0))</f>
        <v>#N/A</v>
      </c>
      <c r="W1517" s="276"/>
      <c r="X1517" s="276">
        <f t="shared" ca="1" si="214"/>
        <v>0</v>
      </c>
      <c r="Y1517" s="276"/>
      <c r="Z1517" s="276"/>
      <c r="AB1517" s="278" t="str">
        <f t="shared" si="215"/>
        <v/>
      </c>
    </row>
    <row r="1518" spans="1:28" s="277" customFormat="1" ht="20.25">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13"/>
        <v/>
      </c>
      <c r="T1518" s="225" t="str">
        <f ca="1">IF(B1518="","",IF(ISERROR(MATCH($J1518,SorP!$B$1:$B$6230,0)),"",INDIRECT("'SorP'!$A$"&amp;MATCH($J1518,SorP!$B$1:$B$6230,0))))</f>
        <v/>
      </c>
      <c r="U1518" s="241"/>
      <c r="V1518" s="275" t="e">
        <f>IF(C1518="",NA(),MATCH($B1518&amp;$C1518,'Smelter Look-up'!$J:$J,0))</f>
        <v>#N/A</v>
      </c>
      <c r="W1518" s="276"/>
      <c r="X1518" s="276">
        <f t="shared" ca="1" si="214"/>
        <v>0</v>
      </c>
      <c r="Y1518" s="276"/>
      <c r="Z1518" s="276"/>
      <c r="AB1518" s="278" t="str">
        <f t="shared" si="215"/>
        <v/>
      </c>
    </row>
    <row r="1519" spans="1:28" s="277" customFormat="1" ht="20.25">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213"/>
        <v/>
      </c>
      <c r="T1519" s="225" t="str">
        <f ca="1">IF(B1519="","",IF(ISERROR(MATCH($J1519,SorP!$B$1:$B$6230,0)),"",INDIRECT("'SorP'!$A$"&amp;MATCH($J1519,SorP!$B$1:$B$6230,0))))</f>
        <v/>
      </c>
      <c r="U1519" s="241"/>
      <c r="V1519" s="275" t="e">
        <f>IF(C1519="",NA(),MATCH($B1519&amp;$C1519,'Smelter Look-up'!$J:$J,0))</f>
        <v>#N/A</v>
      </c>
      <c r="W1519" s="276"/>
      <c r="X1519" s="276">
        <f t="shared" ca="1" si="214"/>
        <v>0</v>
      </c>
      <c r="Y1519" s="276"/>
      <c r="Z1519" s="276"/>
      <c r="AB1519" s="278" t="str">
        <f t="shared" si="215"/>
        <v/>
      </c>
    </row>
    <row r="1520" spans="1:28" s="277" customFormat="1" ht="20.25">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213"/>
        <v/>
      </c>
      <c r="T1520" s="225" t="str">
        <f ca="1">IF(B1520="","",IF(ISERROR(MATCH($J1520,SorP!$B$1:$B$6230,0)),"",INDIRECT("'SorP'!$A$"&amp;MATCH($J1520,SorP!$B$1:$B$6230,0))))</f>
        <v/>
      </c>
      <c r="U1520" s="241"/>
      <c r="V1520" s="275" t="e">
        <f>IF(C1520="",NA(),MATCH($B1520&amp;$C1520,'Smelter Look-up'!$J:$J,0))</f>
        <v>#N/A</v>
      </c>
      <c r="W1520" s="276"/>
      <c r="X1520" s="276">
        <f t="shared" ca="1" si="214"/>
        <v>0</v>
      </c>
      <c r="Y1520" s="276"/>
      <c r="Z1520" s="276"/>
      <c r="AB1520" s="278" t="str">
        <f t="shared" si="215"/>
        <v/>
      </c>
    </row>
    <row r="1521" spans="1:28" s="277" customFormat="1" ht="20.25">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213"/>
        <v/>
      </c>
      <c r="T1521" s="225" t="str">
        <f ca="1">IF(B1521="","",IF(ISERROR(MATCH($J1521,SorP!$B$1:$B$6230,0)),"",INDIRECT("'SorP'!$A$"&amp;MATCH($J1521,SorP!$B$1:$B$6230,0))))</f>
        <v/>
      </c>
      <c r="U1521" s="241"/>
      <c r="V1521" s="275" t="e">
        <f>IF(C1521="",NA(),MATCH($B1521&amp;$C1521,'Smelter Look-up'!$J:$J,0))</f>
        <v>#N/A</v>
      </c>
      <c r="W1521" s="276"/>
      <c r="X1521" s="276">
        <f t="shared" ca="1" si="214"/>
        <v>0</v>
      </c>
      <c r="Y1521" s="276"/>
      <c r="Z1521" s="276"/>
      <c r="AB1521" s="278" t="str">
        <f t="shared" si="215"/>
        <v/>
      </c>
    </row>
    <row r="1522" spans="1:28" s="277" customFormat="1" ht="20.25">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213"/>
        <v/>
      </c>
      <c r="T1522" s="225" t="str">
        <f ca="1">IF(B1522="","",IF(ISERROR(MATCH($J1522,SorP!$B$1:$B$6230,0)),"",INDIRECT("'SorP'!$A$"&amp;MATCH($J1522,SorP!$B$1:$B$6230,0))))</f>
        <v/>
      </c>
      <c r="U1522" s="241"/>
      <c r="V1522" s="275" t="e">
        <f>IF(C1522="",NA(),MATCH($B1522&amp;$C1522,'Smelter Look-up'!$J:$J,0))</f>
        <v>#N/A</v>
      </c>
      <c r="W1522" s="276"/>
      <c r="X1522" s="276">
        <f t="shared" ca="1" si="214"/>
        <v>0</v>
      </c>
      <c r="Y1522" s="276"/>
      <c r="Z1522" s="276"/>
      <c r="AB1522" s="278" t="str">
        <f t="shared" si="215"/>
        <v/>
      </c>
    </row>
    <row r="1523" spans="1:28" s="277" customFormat="1" ht="20.25">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13"/>
        <v/>
      </c>
      <c r="T1523" s="225" t="str">
        <f ca="1">IF(B1523="","",IF(ISERROR(MATCH($J1523,SorP!$B$1:$B$6230,0)),"",INDIRECT("'SorP'!$A$"&amp;MATCH($J1523,SorP!$B$1:$B$6230,0))))</f>
        <v/>
      </c>
      <c r="U1523" s="241"/>
      <c r="V1523" s="275" t="e">
        <f>IF(C1523="",NA(),MATCH($B1523&amp;$C1523,'Smelter Look-up'!$J:$J,0))</f>
        <v>#N/A</v>
      </c>
      <c r="W1523" s="276"/>
      <c r="X1523" s="276">
        <f t="shared" ca="1" si="214"/>
        <v>0</v>
      </c>
      <c r="Y1523" s="276"/>
      <c r="Z1523" s="276"/>
      <c r="AB1523" s="278" t="str">
        <f t="shared" si="215"/>
        <v/>
      </c>
    </row>
    <row r="1524" spans="1:28" s="277" customFormat="1" ht="20.25">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13"/>
        <v/>
      </c>
      <c r="T1524" s="225" t="str">
        <f ca="1">IF(B1524="","",IF(ISERROR(MATCH($J1524,SorP!$B$1:$B$6230,0)),"",INDIRECT("'SorP'!$A$"&amp;MATCH($J1524,SorP!$B$1:$B$6230,0))))</f>
        <v/>
      </c>
      <c r="U1524" s="241"/>
      <c r="V1524" s="275" t="e">
        <f>IF(C1524="",NA(),MATCH($B1524&amp;$C1524,'Smelter Look-up'!$J:$J,0))</f>
        <v>#N/A</v>
      </c>
      <c r="W1524" s="276"/>
      <c r="X1524" s="276">
        <f t="shared" ca="1" si="214"/>
        <v>0</v>
      </c>
      <c r="Y1524" s="276"/>
      <c r="Z1524" s="276"/>
      <c r="AB1524" s="278" t="str">
        <f t="shared" si="215"/>
        <v/>
      </c>
    </row>
    <row r="1525" spans="1:28" s="277" customFormat="1" ht="20.25">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13"/>
        <v/>
      </c>
      <c r="T1525" s="225" t="str">
        <f ca="1">IF(B1525="","",IF(ISERROR(MATCH($J1525,SorP!$B$1:$B$6230,0)),"",INDIRECT("'SorP'!$A$"&amp;MATCH($J1525,SorP!$B$1:$B$6230,0))))</f>
        <v/>
      </c>
      <c r="U1525" s="241"/>
      <c r="V1525" s="275" t="e">
        <f>IF(C1525="",NA(),MATCH($B1525&amp;$C1525,'Smelter Look-up'!$J:$J,0))</f>
        <v>#N/A</v>
      </c>
      <c r="W1525" s="276"/>
      <c r="X1525" s="276">
        <f t="shared" ca="1" si="214"/>
        <v>0</v>
      </c>
      <c r="Y1525" s="276"/>
      <c r="Z1525" s="276"/>
      <c r="AB1525" s="278" t="str">
        <f t="shared" si="215"/>
        <v/>
      </c>
    </row>
    <row r="1526" spans="1:28" s="277" customFormat="1" ht="20.25">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13"/>
        <v/>
      </c>
      <c r="T1526" s="225" t="str">
        <f ca="1">IF(B1526="","",IF(ISERROR(MATCH($J1526,SorP!$B$1:$B$6230,0)),"",INDIRECT("'SorP'!$A$"&amp;MATCH($J1526,SorP!$B$1:$B$6230,0))))</f>
        <v/>
      </c>
      <c r="U1526" s="241"/>
      <c r="V1526" s="275" t="e">
        <f>IF(C1526="",NA(),MATCH($B1526&amp;$C1526,'Smelter Look-up'!$J:$J,0))</f>
        <v>#N/A</v>
      </c>
      <c r="W1526" s="276"/>
      <c r="X1526" s="276">
        <f t="shared" ca="1" si="214"/>
        <v>0</v>
      </c>
      <c r="Y1526" s="276"/>
      <c r="Z1526" s="276"/>
      <c r="AB1526" s="278" t="str">
        <f t="shared" si="215"/>
        <v/>
      </c>
    </row>
    <row r="1527" spans="1:28" s="277" customFormat="1" ht="20.25">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13"/>
        <v/>
      </c>
      <c r="T1527" s="225" t="str">
        <f ca="1">IF(B1527="","",IF(ISERROR(MATCH($J1527,SorP!$B$1:$B$6230,0)),"",INDIRECT("'SorP'!$A$"&amp;MATCH($J1527,SorP!$B$1:$B$6230,0))))</f>
        <v/>
      </c>
      <c r="U1527" s="241"/>
      <c r="V1527" s="275" t="e">
        <f>IF(C1527="",NA(),MATCH($B1527&amp;$C1527,'Smelter Look-up'!$J:$J,0))</f>
        <v>#N/A</v>
      </c>
      <c r="W1527" s="276"/>
      <c r="X1527" s="276">
        <f t="shared" ca="1" si="214"/>
        <v>0</v>
      </c>
      <c r="Y1527" s="276"/>
      <c r="Z1527" s="276"/>
      <c r="AB1527" s="278" t="str">
        <f t="shared" si="215"/>
        <v/>
      </c>
    </row>
    <row r="1528" spans="1:28" s="277" customFormat="1" ht="20.25">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13"/>
        <v/>
      </c>
      <c r="T1528" s="225" t="str">
        <f ca="1">IF(B1528="","",IF(ISERROR(MATCH($J1528,SorP!$B$1:$B$6230,0)),"",INDIRECT("'SorP'!$A$"&amp;MATCH($J1528,SorP!$B$1:$B$6230,0))))</f>
        <v/>
      </c>
      <c r="U1528" s="241"/>
      <c r="V1528" s="275" t="e">
        <f>IF(C1528="",NA(),MATCH($B1528&amp;$C1528,'Smelter Look-up'!$J:$J,0))</f>
        <v>#N/A</v>
      </c>
      <c r="W1528" s="276"/>
      <c r="X1528" s="276">
        <f t="shared" ca="1" si="214"/>
        <v>0</v>
      </c>
      <c r="Y1528" s="276"/>
      <c r="Z1528" s="276"/>
      <c r="AB1528" s="278" t="str">
        <f t="shared" si="215"/>
        <v/>
      </c>
    </row>
    <row r="1529" spans="1:28" s="277" customFormat="1" ht="20.25">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13"/>
        <v/>
      </c>
      <c r="T1529" s="225" t="str">
        <f ca="1">IF(B1529="","",IF(ISERROR(MATCH($J1529,SorP!$B$1:$B$6230,0)),"",INDIRECT("'SorP'!$A$"&amp;MATCH($J1529,SorP!$B$1:$B$6230,0))))</f>
        <v/>
      </c>
      <c r="U1529" s="241"/>
      <c r="V1529" s="275" t="e">
        <f>IF(C1529="",NA(),MATCH($B1529&amp;$C1529,'Smelter Look-up'!$J:$J,0))</f>
        <v>#N/A</v>
      </c>
      <c r="W1529" s="276"/>
      <c r="X1529" s="276">
        <f t="shared" ca="1" si="214"/>
        <v>0</v>
      </c>
      <c r="Y1529" s="276"/>
      <c r="Z1529" s="276"/>
      <c r="AB1529" s="278" t="str">
        <f t="shared" si="215"/>
        <v/>
      </c>
    </row>
    <row r="1530" spans="1:28" s="277" customFormat="1" ht="20.25">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213"/>
        <v/>
      </c>
      <c r="T1530" s="225" t="str">
        <f ca="1">IF(B1530="","",IF(ISERROR(MATCH($J1530,SorP!$B$1:$B$6230,0)),"",INDIRECT("'SorP'!$A$"&amp;MATCH($J1530,SorP!$B$1:$B$6230,0))))</f>
        <v/>
      </c>
      <c r="U1530" s="241"/>
      <c r="V1530" s="275" t="e">
        <f>IF(C1530="",NA(),MATCH($B1530&amp;$C1530,'Smelter Look-up'!$J:$J,0))</f>
        <v>#N/A</v>
      </c>
      <c r="W1530" s="276"/>
      <c r="X1530" s="276">
        <f t="shared" ca="1" si="214"/>
        <v>0</v>
      </c>
      <c r="Y1530" s="276"/>
      <c r="Z1530" s="276"/>
      <c r="AB1530" s="278" t="str">
        <f t="shared" si="215"/>
        <v/>
      </c>
    </row>
    <row r="1531" spans="1:28" s="277" customFormat="1" ht="20.25">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ref="S1531" ca="1" si="216">IF(B1531="","",IF(ISERROR(MATCH($E1531,CL,0)),"Unknown",INDIRECT("'C'!$A$"&amp;MATCH($E1531,CL,0)+1)))</f>
        <v/>
      </c>
      <c r="T1531" s="225" t="str">
        <f ca="1">IF(B1531="","",IF(ISERROR(MATCH($J1531,SorP!$B$1:$B$6230,0)),"",INDIRECT("'SorP'!$A$"&amp;MATCH($J1531,SorP!$B$1:$B$6230,0))))</f>
        <v/>
      </c>
      <c r="U1531" s="241"/>
      <c r="V1531" s="275" t="e">
        <f>IF(C1531="",NA(),MATCH($B1531&amp;$C1531,'Smelter Look-up'!$J:$J,0))</f>
        <v>#N/A</v>
      </c>
      <c r="W1531" s="276"/>
      <c r="X1531" s="276">
        <f t="shared" ref="X1531" ca="1" si="217">IF(AND(C1531="Smelter not listed",OR(LEN(D1531)=0,LEN(E1531)=0)),1,0)</f>
        <v>0</v>
      </c>
      <c r="Y1531" s="276"/>
      <c r="Z1531" s="276"/>
      <c r="AB1531" s="278" t="str">
        <f t="shared" ref="AB1531" si="218">B1531&amp;C1531</f>
        <v/>
      </c>
    </row>
    <row r="1532" spans="1:28" s="277" customFormat="1" ht="20.25">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ref="S1532:S1563" ca="1" si="219">IF(B1532="","",IF(ISERROR(MATCH($E1532,CL,0)),"Unknown",INDIRECT("'C'!$A$"&amp;MATCH($E1532,CL,0)+1)))</f>
        <v/>
      </c>
      <c r="T1532" s="225" t="str">
        <f ca="1">IF(B1532="","",IF(ISERROR(MATCH($J1532,SorP!$B$1:$B$6230,0)),"",INDIRECT("'SorP'!$A$"&amp;MATCH($J1532,SorP!$B$1:$B$6230,0))))</f>
        <v/>
      </c>
      <c r="U1532" s="241"/>
      <c r="V1532" s="275" t="e">
        <f>IF(C1532="",NA(),MATCH($B1532&amp;$C1532,'Smelter Look-up'!$J:$J,0))</f>
        <v>#N/A</v>
      </c>
      <c r="W1532" s="276"/>
      <c r="X1532" s="276">
        <f t="shared" ref="X1532:X1563" ca="1" si="220">IF(AND(C1532="Smelter not listed",OR(LEN(D1532)=0,LEN(E1532)=0)),1,0)</f>
        <v>0</v>
      </c>
      <c r="Y1532" s="276"/>
      <c r="Z1532" s="276"/>
      <c r="AB1532" s="278" t="str">
        <f t="shared" ref="AB1532:AB1563" si="221">B1532&amp;C1532</f>
        <v/>
      </c>
    </row>
    <row r="1533" spans="1:28" s="277" customFormat="1" ht="20.25">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19"/>
        <v/>
      </c>
      <c r="T1533" s="225" t="str">
        <f ca="1">IF(B1533="","",IF(ISERROR(MATCH($J1533,SorP!$B$1:$B$6230,0)),"",INDIRECT("'SorP'!$A$"&amp;MATCH($J1533,SorP!$B$1:$B$6230,0))))</f>
        <v/>
      </c>
      <c r="U1533" s="241"/>
      <c r="V1533" s="275" t="e">
        <f>IF(C1533="",NA(),MATCH($B1533&amp;$C1533,'Smelter Look-up'!$J:$J,0))</f>
        <v>#N/A</v>
      </c>
      <c r="W1533" s="276"/>
      <c r="X1533" s="276">
        <f t="shared" ca="1" si="220"/>
        <v>0</v>
      </c>
      <c r="Y1533" s="276"/>
      <c r="Z1533" s="276"/>
      <c r="AB1533" s="278" t="str">
        <f t="shared" si="221"/>
        <v/>
      </c>
    </row>
    <row r="1534" spans="1:28" s="277" customFormat="1" ht="20.25">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19"/>
        <v/>
      </c>
      <c r="T1534" s="225" t="str">
        <f ca="1">IF(B1534="","",IF(ISERROR(MATCH($J1534,SorP!$B$1:$B$6230,0)),"",INDIRECT("'SorP'!$A$"&amp;MATCH($J1534,SorP!$B$1:$B$6230,0))))</f>
        <v/>
      </c>
      <c r="U1534" s="241"/>
      <c r="V1534" s="275" t="e">
        <f>IF(C1534="",NA(),MATCH($B1534&amp;$C1534,'Smelter Look-up'!$J:$J,0))</f>
        <v>#N/A</v>
      </c>
      <c r="W1534" s="276"/>
      <c r="X1534" s="276">
        <f t="shared" ca="1" si="220"/>
        <v>0</v>
      </c>
      <c r="Y1534" s="276"/>
      <c r="Z1534" s="276"/>
      <c r="AB1534" s="278" t="str">
        <f t="shared" si="221"/>
        <v/>
      </c>
    </row>
    <row r="1535" spans="1:28" s="277" customFormat="1" ht="20.25">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19"/>
        <v/>
      </c>
      <c r="T1535" s="225" t="str">
        <f ca="1">IF(B1535="","",IF(ISERROR(MATCH($J1535,SorP!$B$1:$B$6230,0)),"",INDIRECT("'SorP'!$A$"&amp;MATCH($J1535,SorP!$B$1:$B$6230,0))))</f>
        <v/>
      </c>
      <c r="U1535" s="241"/>
      <c r="V1535" s="275" t="e">
        <f>IF(C1535="",NA(),MATCH($B1535&amp;$C1535,'Smelter Look-up'!$J:$J,0))</f>
        <v>#N/A</v>
      </c>
      <c r="W1535" s="276"/>
      <c r="X1535" s="276">
        <f t="shared" ca="1" si="220"/>
        <v>0</v>
      </c>
      <c r="Y1535" s="276"/>
      <c r="Z1535" s="276"/>
      <c r="AB1535" s="278" t="str">
        <f t="shared" si="221"/>
        <v/>
      </c>
    </row>
    <row r="1536" spans="1:28" s="277" customFormat="1" ht="20.25">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19"/>
        <v/>
      </c>
      <c r="T1536" s="225" t="str">
        <f ca="1">IF(B1536="","",IF(ISERROR(MATCH($J1536,SorP!$B$1:$B$6230,0)),"",INDIRECT("'SorP'!$A$"&amp;MATCH($J1536,SorP!$B$1:$B$6230,0))))</f>
        <v/>
      </c>
      <c r="U1536" s="241"/>
      <c r="V1536" s="275" t="e">
        <f>IF(C1536="",NA(),MATCH($B1536&amp;$C1536,'Smelter Look-up'!$J:$J,0))</f>
        <v>#N/A</v>
      </c>
      <c r="W1536" s="276"/>
      <c r="X1536" s="276">
        <f t="shared" ca="1" si="220"/>
        <v>0</v>
      </c>
      <c r="Y1536" s="276"/>
      <c r="Z1536" s="276"/>
      <c r="AB1536" s="278" t="str">
        <f t="shared" si="221"/>
        <v/>
      </c>
    </row>
    <row r="1537" spans="1:28" s="277" customFormat="1" ht="20.25">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19"/>
        <v/>
      </c>
      <c r="T1537" s="225" t="str">
        <f ca="1">IF(B1537="","",IF(ISERROR(MATCH($J1537,SorP!$B$1:$B$6230,0)),"",INDIRECT("'SorP'!$A$"&amp;MATCH($J1537,SorP!$B$1:$B$6230,0))))</f>
        <v/>
      </c>
      <c r="U1537" s="241"/>
      <c r="V1537" s="275" t="e">
        <f>IF(C1537="",NA(),MATCH($B1537&amp;$C1537,'Smelter Look-up'!$J:$J,0))</f>
        <v>#N/A</v>
      </c>
      <c r="W1537" s="276"/>
      <c r="X1537" s="276">
        <f t="shared" ca="1" si="220"/>
        <v>0</v>
      </c>
      <c r="Y1537" s="276"/>
      <c r="Z1537" s="276"/>
      <c r="AB1537" s="278" t="str">
        <f t="shared" si="221"/>
        <v/>
      </c>
    </row>
    <row r="1538" spans="1:28" s="277" customFormat="1" ht="20.25">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19"/>
        <v/>
      </c>
      <c r="T1538" s="225" t="str">
        <f ca="1">IF(B1538="","",IF(ISERROR(MATCH($J1538,SorP!$B$1:$B$6230,0)),"",INDIRECT("'SorP'!$A$"&amp;MATCH($J1538,SorP!$B$1:$B$6230,0))))</f>
        <v/>
      </c>
      <c r="U1538" s="241"/>
      <c r="V1538" s="275" t="e">
        <f>IF(C1538="",NA(),MATCH($B1538&amp;$C1538,'Smelter Look-up'!$J:$J,0))</f>
        <v>#N/A</v>
      </c>
      <c r="W1538" s="276"/>
      <c r="X1538" s="276">
        <f t="shared" ca="1" si="220"/>
        <v>0</v>
      </c>
      <c r="Y1538" s="276"/>
      <c r="Z1538" s="276"/>
      <c r="AB1538" s="278" t="str">
        <f t="shared" si="221"/>
        <v/>
      </c>
    </row>
    <row r="1539" spans="1:28" s="277" customFormat="1" ht="20.25">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19"/>
        <v/>
      </c>
      <c r="T1539" s="225" t="str">
        <f ca="1">IF(B1539="","",IF(ISERROR(MATCH($J1539,SorP!$B$1:$B$6230,0)),"",INDIRECT("'SorP'!$A$"&amp;MATCH($J1539,SorP!$B$1:$B$6230,0))))</f>
        <v/>
      </c>
      <c r="U1539" s="241"/>
      <c r="V1539" s="275" t="e">
        <f>IF(C1539="",NA(),MATCH($B1539&amp;$C1539,'Smelter Look-up'!$J:$J,0))</f>
        <v>#N/A</v>
      </c>
      <c r="W1539" s="276"/>
      <c r="X1539" s="276">
        <f t="shared" ca="1" si="220"/>
        <v>0</v>
      </c>
      <c r="Y1539" s="276"/>
      <c r="Z1539" s="276"/>
      <c r="AB1539" s="278" t="str">
        <f t="shared" si="221"/>
        <v/>
      </c>
    </row>
    <row r="1540" spans="1:28" s="277" customFormat="1" ht="20.25">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19"/>
        <v/>
      </c>
      <c r="T1540" s="225" t="str">
        <f ca="1">IF(B1540="","",IF(ISERROR(MATCH($J1540,SorP!$B$1:$B$6230,0)),"",INDIRECT("'SorP'!$A$"&amp;MATCH($J1540,SorP!$B$1:$B$6230,0))))</f>
        <v/>
      </c>
      <c r="U1540" s="241"/>
      <c r="V1540" s="275" t="e">
        <f>IF(C1540="",NA(),MATCH($B1540&amp;$C1540,'Smelter Look-up'!$J:$J,0))</f>
        <v>#N/A</v>
      </c>
      <c r="W1540" s="276"/>
      <c r="X1540" s="276">
        <f t="shared" ca="1" si="220"/>
        <v>0</v>
      </c>
      <c r="Y1540" s="276"/>
      <c r="Z1540" s="276"/>
      <c r="AB1540" s="278" t="str">
        <f t="shared" si="221"/>
        <v/>
      </c>
    </row>
    <row r="1541" spans="1:28" s="277" customFormat="1" ht="20.25">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19"/>
        <v/>
      </c>
      <c r="T1541" s="225" t="str">
        <f ca="1">IF(B1541="","",IF(ISERROR(MATCH($J1541,SorP!$B$1:$B$6230,0)),"",INDIRECT("'SorP'!$A$"&amp;MATCH($J1541,SorP!$B$1:$B$6230,0))))</f>
        <v/>
      </c>
      <c r="U1541" s="241"/>
      <c r="V1541" s="275" t="e">
        <f>IF(C1541="",NA(),MATCH($B1541&amp;$C1541,'Smelter Look-up'!$J:$J,0))</f>
        <v>#N/A</v>
      </c>
      <c r="W1541" s="276"/>
      <c r="X1541" s="276">
        <f t="shared" ca="1" si="220"/>
        <v>0</v>
      </c>
      <c r="Y1541" s="276"/>
      <c r="Z1541" s="276"/>
      <c r="AB1541" s="278" t="str">
        <f t="shared" si="221"/>
        <v/>
      </c>
    </row>
    <row r="1542" spans="1:28" s="277" customFormat="1" ht="20.25">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19"/>
        <v/>
      </c>
      <c r="T1542" s="225" t="str">
        <f ca="1">IF(B1542="","",IF(ISERROR(MATCH($J1542,SorP!$B$1:$B$6230,0)),"",INDIRECT("'SorP'!$A$"&amp;MATCH($J1542,SorP!$B$1:$B$6230,0))))</f>
        <v/>
      </c>
      <c r="U1542" s="241"/>
      <c r="V1542" s="275" t="e">
        <f>IF(C1542="",NA(),MATCH($B1542&amp;$C1542,'Smelter Look-up'!$J:$J,0))</f>
        <v>#N/A</v>
      </c>
      <c r="W1542" s="276"/>
      <c r="X1542" s="276">
        <f t="shared" ca="1" si="220"/>
        <v>0</v>
      </c>
      <c r="Y1542" s="276"/>
      <c r="Z1542" s="276"/>
      <c r="AB1542" s="278" t="str">
        <f t="shared" si="221"/>
        <v/>
      </c>
    </row>
    <row r="1543" spans="1:28" s="277" customFormat="1" ht="20.25">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19"/>
        <v/>
      </c>
      <c r="T1543" s="225" t="str">
        <f ca="1">IF(B1543="","",IF(ISERROR(MATCH($J1543,SorP!$B$1:$B$6230,0)),"",INDIRECT("'SorP'!$A$"&amp;MATCH($J1543,SorP!$B$1:$B$6230,0))))</f>
        <v/>
      </c>
      <c r="U1543" s="241"/>
      <c r="V1543" s="275" t="e">
        <f>IF(C1543="",NA(),MATCH($B1543&amp;$C1543,'Smelter Look-up'!$J:$J,0))</f>
        <v>#N/A</v>
      </c>
      <c r="W1543" s="276"/>
      <c r="X1543" s="276">
        <f t="shared" ca="1" si="220"/>
        <v>0</v>
      </c>
      <c r="Y1543" s="276"/>
      <c r="Z1543" s="276"/>
      <c r="AB1543" s="278" t="str">
        <f t="shared" si="221"/>
        <v/>
      </c>
    </row>
    <row r="1544" spans="1:28" s="277" customFormat="1" ht="20.25">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19"/>
        <v/>
      </c>
      <c r="T1544" s="225" t="str">
        <f ca="1">IF(B1544="","",IF(ISERROR(MATCH($J1544,SorP!$B$1:$B$6230,0)),"",INDIRECT("'SorP'!$A$"&amp;MATCH($J1544,SorP!$B$1:$B$6230,0))))</f>
        <v/>
      </c>
      <c r="U1544" s="241"/>
      <c r="V1544" s="275" t="e">
        <f>IF(C1544="",NA(),MATCH($B1544&amp;$C1544,'Smelter Look-up'!$J:$J,0))</f>
        <v>#N/A</v>
      </c>
      <c r="W1544" s="276"/>
      <c r="X1544" s="276">
        <f t="shared" ca="1" si="220"/>
        <v>0</v>
      </c>
      <c r="Y1544" s="276"/>
      <c r="Z1544" s="276"/>
      <c r="AB1544" s="278" t="str">
        <f t="shared" si="221"/>
        <v/>
      </c>
    </row>
    <row r="1545" spans="1:28" s="277" customFormat="1" ht="20.25">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19"/>
        <v/>
      </c>
      <c r="T1545" s="225" t="str">
        <f ca="1">IF(B1545="","",IF(ISERROR(MATCH($J1545,SorP!$B$1:$B$6230,0)),"",INDIRECT("'SorP'!$A$"&amp;MATCH($J1545,SorP!$B$1:$B$6230,0))))</f>
        <v/>
      </c>
      <c r="U1545" s="241"/>
      <c r="V1545" s="275" t="e">
        <f>IF(C1545="",NA(),MATCH($B1545&amp;$C1545,'Smelter Look-up'!$J:$J,0))</f>
        <v>#N/A</v>
      </c>
      <c r="W1545" s="276"/>
      <c r="X1545" s="276">
        <f t="shared" ca="1" si="220"/>
        <v>0</v>
      </c>
      <c r="Y1545" s="276"/>
      <c r="Z1545" s="276"/>
      <c r="AB1545" s="278" t="str">
        <f t="shared" si="221"/>
        <v/>
      </c>
    </row>
    <row r="1546" spans="1:28" s="277" customFormat="1" ht="20.25">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19"/>
        <v/>
      </c>
      <c r="T1546" s="225" t="str">
        <f ca="1">IF(B1546="","",IF(ISERROR(MATCH($J1546,SorP!$B$1:$B$6230,0)),"",INDIRECT("'SorP'!$A$"&amp;MATCH($J1546,SorP!$B$1:$B$6230,0))))</f>
        <v/>
      </c>
      <c r="U1546" s="241"/>
      <c r="V1546" s="275" t="e">
        <f>IF(C1546="",NA(),MATCH($B1546&amp;$C1546,'Smelter Look-up'!$J:$J,0))</f>
        <v>#N/A</v>
      </c>
      <c r="W1546" s="276"/>
      <c r="X1546" s="276">
        <f t="shared" ca="1" si="220"/>
        <v>0</v>
      </c>
      <c r="Y1546" s="276"/>
      <c r="Z1546" s="276"/>
      <c r="AB1546" s="278" t="str">
        <f t="shared" si="221"/>
        <v/>
      </c>
    </row>
    <row r="1547" spans="1:28" s="277" customFormat="1" ht="20.25">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19"/>
        <v/>
      </c>
      <c r="T1547" s="225" t="str">
        <f ca="1">IF(B1547="","",IF(ISERROR(MATCH($J1547,SorP!$B$1:$B$6230,0)),"",INDIRECT("'SorP'!$A$"&amp;MATCH($J1547,SorP!$B$1:$B$6230,0))))</f>
        <v/>
      </c>
      <c r="U1547" s="241"/>
      <c r="V1547" s="275" t="e">
        <f>IF(C1547="",NA(),MATCH($B1547&amp;$C1547,'Smelter Look-up'!$J:$J,0))</f>
        <v>#N/A</v>
      </c>
      <c r="W1547" s="276"/>
      <c r="X1547" s="276">
        <f t="shared" ca="1" si="220"/>
        <v>0</v>
      </c>
      <c r="Y1547" s="276"/>
      <c r="Z1547" s="276"/>
      <c r="AB1547" s="278" t="str">
        <f t="shared" si="221"/>
        <v/>
      </c>
    </row>
    <row r="1548" spans="1:28" s="277" customFormat="1" ht="20.25">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19"/>
        <v/>
      </c>
      <c r="T1548" s="225" t="str">
        <f ca="1">IF(B1548="","",IF(ISERROR(MATCH($J1548,SorP!$B$1:$B$6230,0)),"",INDIRECT("'SorP'!$A$"&amp;MATCH($J1548,SorP!$B$1:$B$6230,0))))</f>
        <v/>
      </c>
      <c r="U1548" s="241"/>
      <c r="V1548" s="275" t="e">
        <f>IF(C1548="",NA(),MATCH($B1548&amp;$C1548,'Smelter Look-up'!$J:$J,0))</f>
        <v>#N/A</v>
      </c>
      <c r="W1548" s="276"/>
      <c r="X1548" s="276">
        <f t="shared" ca="1" si="220"/>
        <v>0</v>
      </c>
      <c r="Y1548" s="276"/>
      <c r="Z1548" s="276"/>
      <c r="AB1548" s="278" t="str">
        <f t="shared" si="221"/>
        <v/>
      </c>
    </row>
    <row r="1549" spans="1:28" s="277" customFormat="1" ht="20.25">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19"/>
        <v/>
      </c>
      <c r="T1549" s="225" t="str">
        <f ca="1">IF(B1549="","",IF(ISERROR(MATCH($J1549,SorP!$B$1:$B$6230,0)),"",INDIRECT("'SorP'!$A$"&amp;MATCH($J1549,SorP!$B$1:$B$6230,0))))</f>
        <v/>
      </c>
      <c r="U1549" s="241"/>
      <c r="V1549" s="275" t="e">
        <f>IF(C1549="",NA(),MATCH($B1549&amp;$C1549,'Smelter Look-up'!$J:$J,0))</f>
        <v>#N/A</v>
      </c>
      <c r="W1549" s="276"/>
      <c r="X1549" s="276">
        <f t="shared" ca="1" si="220"/>
        <v>0</v>
      </c>
      <c r="Y1549" s="276"/>
      <c r="Z1549" s="276"/>
      <c r="AB1549" s="278" t="str">
        <f t="shared" si="221"/>
        <v/>
      </c>
    </row>
    <row r="1550" spans="1:28" s="277" customFormat="1" ht="20.25">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19"/>
        <v/>
      </c>
      <c r="T1550" s="225" t="str">
        <f ca="1">IF(B1550="","",IF(ISERROR(MATCH($J1550,SorP!$B$1:$B$6230,0)),"",INDIRECT("'SorP'!$A$"&amp;MATCH($J1550,SorP!$B$1:$B$6230,0))))</f>
        <v/>
      </c>
      <c r="U1550" s="241"/>
      <c r="V1550" s="275" t="e">
        <f>IF(C1550="",NA(),MATCH($B1550&amp;$C1550,'Smelter Look-up'!$J:$J,0))</f>
        <v>#N/A</v>
      </c>
      <c r="W1550" s="276"/>
      <c r="X1550" s="276">
        <f t="shared" ca="1" si="220"/>
        <v>0</v>
      </c>
      <c r="Y1550" s="276"/>
      <c r="Z1550" s="276"/>
      <c r="AB1550" s="278" t="str">
        <f t="shared" si="221"/>
        <v/>
      </c>
    </row>
    <row r="1551" spans="1:28" s="277" customFormat="1" ht="20.25">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19"/>
        <v/>
      </c>
      <c r="T1551" s="225" t="str">
        <f ca="1">IF(B1551="","",IF(ISERROR(MATCH($J1551,SorP!$B$1:$B$6230,0)),"",INDIRECT("'SorP'!$A$"&amp;MATCH($J1551,SorP!$B$1:$B$6230,0))))</f>
        <v/>
      </c>
      <c r="U1551" s="241"/>
      <c r="V1551" s="275" t="e">
        <f>IF(C1551="",NA(),MATCH($B1551&amp;$C1551,'Smelter Look-up'!$J:$J,0))</f>
        <v>#N/A</v>
      </c>
      <c r="W1551" s="276"/>
      <c r="X1551" s="276">
        <f t="shared" ca="1" si="220"/>
        <v>0</v>
      </c>
      <c r="Y1551" s="276"/>
      <c r="Z1551" s="276"/>
      <c r="AB1551" s="278" t="str">
        <f t="shared" si="221"/>
        <v/>
      </c>
    </row>
    <row r="1552" spans="1:28" s="277" customFormat="1" ht="20.25">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219"/>
        <v/>
      </c>
      <c r="T1552" s="225" t="str">
        <f ca="1">IF(B1552="","",IF(ISERROR(MATCH($J1552,SorP!$B$1:$B$6230,0)),"",INDIRECT("'SorP'!$A$"&amp;MATCH($J1552,SorP!$B$1:$B$6230,0))))</f>
        <v/>
      </c>
      <c r="U1552" s="241"/>
      <c r="V1552" s="275" t="e">
        <f>IF(C1552="",NA(),MATCH($B1552&amp;$C1552,'Smelter Look-up'!$J:$J,0))</f>
        <v>#N/A</v>
      </c>
      <c r="W1552" s="276"/>
      <c r="X1552" s="276">
        <f t="shared" ca="1" si="220"/>
        <v>0</v>
      </c>
      <c r="Y1552" s="276"/>
      <c r="Z1552" s="276"/>
      <c r="AB1552" s="278" t="str">
        <f t="shared" si="221"/>
        <v/>
      </c>
    </row>
    <row r="1553" spans="1:28" s="277" customFormat="1" ht="20.25">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19"/>
        <v/>
      </c>
      <c r="T1553" s="225" t="str">
        <f ca="1">IF(B1553="","",IF(ISERROR(MATCH($J1553,SorP!$B$1:$B$6230,0)),"",INDIRECT("'SorP'!$A$"&amp;MATCH($J1553,SorP!$B$1:$B$6230,0))))</f>
        <v/>
      </c>
      <c r="U1553" s="241"/>
      <c r="V1553" s="275" t="e">
        <f>IF(C1553="",NA(),MATCH($B1553&amp;$C1553,'Smelter Look-up'!$J:$J,0))</f>
        <v>#N/A</v>
      </c>
      <c r="W1553" s="276"/>
      <c r="X1553" s="276">
        <f t="shared" ca="1" si="220"/>
        <v>0</v>
      </c>
      <c r="Y1553" s="276"/>
      <c r="Z1553" s="276"/>
      <c r="AB1553" s="278" t="str">
        <f t="shared" si="221"/>
        <v/>
      </c>
    </row>
    <row r="1554" spans="1:28" s="277" customFormat="1" ht="20.25">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219"/>
        <v/>
      </c>
      <c r="T1554" s="225" t="str">
        <f ca="1">IF(B1554="","",IF(ISERROR(MATCH($J1554,SorP!$B$1:$B$6230,0)),"",INDIRECT("'SorP'!$A$"&amp;MATCH($J1554,SorP!$B$1:$B$6230,0))))</f>
        <v/>
      </c>
      <c r="U1554" s="241"/>
      <c r="V1554" s="275" t="e">
        <f>IF(C1554="",NA(),MATCH($B1554&amp;$C1554,'Smelter Look-up'!$J:$J,0))</f>
        <v>#N/A</v>
      </c>
      <c r="W1554" s="276"/>
      <c r="X1554" s="276">
        <f t="shared" ca="1" si="220"/>
        <v>0</v>
      </c>
      <c r="Y1554" s="276"/>
      <c r="Z1554" s="276"/>
      <c r="AB1554" s="278" t="str">
        <f t="shared" si="221"/>
        <v/>
      </c>
    </row>
    <row r="1555" spans="1:28" s="277" customFormat="1" ht="20.25">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19"/>
        <v/>
      </c>
      <c r="T1555" s="225" t="str">
        <f ca="1">IF(B1555="","",IF(ISERROR(MATCH($J1555,SorP!$B$1:$B$6230,0)),"",INDIRECT("'SorP'!$A$"&amp;MATCH($J1555,SorP!$B$1:$B$6230,0))))</f>
        <v/>
      </c>
      <c r="U1555" s="241"/>
      <c r="V1555" s="275" t="e">
        <f>IF(C1555="",NA(),MATCH($B1555&amp;$C1555,'Smelter Look-up'!$J:$J,0))</f>
        <v>#N/A</v>
      </c>
      <c r="W1555" s="276"/>
      <c r="X1555" s="276">
        <f t="shared" ca="1" si="220"/>
        <v>0</v>
      </c>
      <c r="Y1555" s="276"/>
      <c r="Z1555" s="276"/>
      <c r="AB1555" s="278" t="str">
        <f t="shared" si="221"/>
        <v/>
      </c>
    </row>
    <row r="1556" spans="1:28" s="277" customFormat="1" ht="20.25">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19"/>
        <v/>
      </c>
      <c r="T1556" s="225" t="str">
        <f ca="1">IF(B1556="","",IF(ISERROR(MATCH($J1556,SorP!$B$1:$B$6230,0)),"",INDIRECT("'SorP'!$A$"&amp;MATCH($J1556,SorP!$B$1:$B$6230,0))))</f>
        <v/>
      </c>
      <c r="U1556" s="241"/>
      <c r="V1556" s="275" t="e">
        <f>IF(C1556="",NA(),MATCH($B1556&amp;$C1556,'Smelter Look-up'!$J:$J,0))</f>
        <v>#N/A</v>
      </c>
      <c r="W1556" s="276"/>
      <c r="X1556" s="276">
        <f t="shared" ca="1" si="220"/>
        <v>0</v>
      </c>
      <c r="Y1556" s="276"/>
      <c r="Z1556" s="276"/>
      <c r="AB1556" s="278" t="str">
        <f t="shared" si="221"/>
        <v/>
      </c>
    </row>
    <row r="1557" spans="1:28" s="277" customFormat="1" ht="20.25">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19"/>
        <v/>
      </c>
      <c r="T1557" s="225" t="str">
        <f ca="1">IF(B1557="","",IF(ISERROR(MATCH($J1557,SorP!$B$1:$B$6230,0)),"",INDIRECT("'SorP'!$A$"&amp;MATCH($J1557,SorP!$B$1:$B$6230,0))))</f>
        <v/>
      </c>
      <c r="U1557" s="241"/>
      <c r="V1557" s="275" t="e">
        <f>IF(C1557="",NA(),MATCH($B1557&amp;$C1557,'Smelter Look-up'!$J:$J,0))</f>
        <v>#N/A</v>
      </c>
      <c r="W1557" s="276"/>
      <c r="X1557" s="276">
        <f t="shared" ca="1" si="220"/>
        <v>0</v>
      </c>
      <c r="Y1557" s="276"/>
      <c r="Z1557" s="276"/>
      <c r="AB1557" s="278" t="str">
        <f t="shared" si="221"/>
        <v/>
      </c>
    </row>
    <row r="1558" spans="1:28" s="277" customFormat="1" ht="20.25">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19"/>
        <v/>
      </c>
      <c r="T1558" s="225" t="str">
        <f ca="1">IF(B1558="","",IF(ISERROR(MATCH($J1558,SorP!$B$1:$B$6230,0)),"",INDIRECT("'SorP'!$A$"&amp;MATCH($J1558,SorP!$B$1:$B$6230,0))))</f>
        <v/>
      </c>
      <c r="U1558" s="241"/>
      <c r="V1558" s="275" t="e">
        <f>IF(C1558="",NA(),MATCH($B1558&amp;$C1558,'Smelter Look-up'!$J:$J,0))</f>
        <v>#N/A</v>
      </c>
      <c r="W1558" s="276"/>
      <c r="X1558" s="276">
        <f t="shared" ca="1" si="220"/>
        <v>0</v>
      </c>
      <c r="Y1558" s="276"/>
      <c r="Z1558" s="276"/>
      <c r="AB1558" s="278" t="str">
        <f t="shared" si="221"/>
        <v/>
      </c>
    </row>
    <row r="1559" spans="1:28" s="277" customFormat="1" ht="20.25">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19"/>
        <v/>
      </c>
      <c r="T1559" s="225" t="str">
        <f ca="1">IF(B1559="","",IF(ISERROR(MATCH($J1559,SorP!$B$1:$B$6230,0)),"",INDIRECT("'SorP'!$A$"&amp;MATCH($J1559,SorP!$B$1:$B$6230,0))))</f>
        <v/>
      </c>
      <c r="U1559" s="241"/>
      <c r="V1559" s="275" t="e">
        <f>IF(C1559="",NA(),MATCH($B1559&amp;$C1559,'Smelter Look-up'!$J:$J,0))</f>
        <v>#N/A</v>
      </c>
      <c r="W1559" s="276"/>
      <c r="X1559" s="276">
        <f t="shared" ca="1" si="220"/>
        <v>0</v>
      </c>
      <c r="Y1559" s="276"/>
      <c r="Z1559" s="276"/>
      <c r="AB1559" s="278" t="str">
        <f t="shared" si="221"/>
        <v/>
      </c>
    </row>
    <row r="1560" spans="1:28" s="277" customFormat="1" ht="20.25">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19"/>
        <v/>
      </c>
      <c r="T1560" s="225" t="str">
        <f ca="1">IF(B1560="","",IF(ISERROR(MATCH($J1560,SorP!$B$1:$B$6230,0)),"",INDIRECT("'SorP'!$A$"&amp;MATCH($J1560,SorP!$B$1:$B$6230,0))))</f>
        <v/>
      </c>
      <c r="U1560" s="241"/>
      <c r="V1560" s="275" t="e">
        <f>IF(C1560="",NA(),MATCH($B1560&amp;$C1560,'Smelter Look-up'!$J:$J,0))</f>
        <v>#N/A</v>
      </c>
      <c r="W1560" s="276"/>
      <c r="X1560" s="276">
        <f t="shared" ca="1" si="220"/>
        <v>0</v>
      </c>
      <c r="Y1560" s="276"/>
      <c r="Z1560" s="276"/>
      <c r="AB1560" s="278" t="str">
        <f t="shared" si="221"/>
        <v/>
      </c>
    </row>
    <row r="1561" spans="1:28" s="277" customFormat="1" ht="20.25">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19"/>
        <v/>
      </c>
      <c r="T1561" s="225" t="str">
        <f ca="1">IF(B1561="","",IF(ISERROR(MATCH($J1561,SorP!$B$1:$B$6230,0)),"",INDIRECT("'SorP'!$A$"&amp;MATCH($J1561,SorP!$B$1:$B$6230,0))))</f>
        <v/>
      </c>
      <c r="U1561" s="241"/>
      <c r="V1561" s="275" t="e">
        <f>IF(C1561="",NA(),MATCH($B1561&amp;$C1561,'Smelter Look-up'!$J:$J,0))</f>
        <v>#N/A</v>
      </c>
      <c r="W1561" s="276"/>
      <c r="X1561" s="276">
        <f t="shared" ca="1" si="220"/>
        <v>0</v>
      </c>
      <c r="Y1561" s="276"/>
      <c r="Z1561" s="276"/>
      <c r="AB1561" s="278" t="str">
        <f t="shared" si="221"/>
        <v/>
      </c>
    </row>
    <row r="1562" spans="1:28" s="277" customFormat="1" ht="20.25">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19"/>
        <v/>
      </c>
      <c r="T1562" s="225" t="str">
        <f ca="1">IF(B1562="","",IF(ISERROR(MATCH($J1562,SorP!$B$1:$B$6230,0)),"",INDIRECT("'SorP'!$A$"&amp;MATCH($J1562,SorP!$B$1:$B$6230,0))))</f>
        <v/>
      </c>
      <c r="U1562" s="241"/>
      <c r="V1562" s="275" t="e">
        <f>IF(C1562="",NA(),MATCH($B1562&amp;$C1562,'Smelter Look-up'!$J:$J,0))</f>
        <v>#N/A</v>
      </c>
      <c r="W1562" s="276"/>
      <c r="X1562" s="276">
        <f t="shared" ca="1" si="220"/>
        <v>0</v>
      </c>
      <c r="Y1562" s="276"/>
      <c r="Z1562" s="276"/>
      <c r="AB1562" s="278" t="str">
        <f t="shared" si="221"/>
        <v/>
      </c>
    </row>
    <row r="1563" spans="1:28" s="277" customFormat="1" ht="20.25">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219"/>
        <v/>
      </c>
      <c r="T1563" s="225" t="str">
        <f ca="1">IF(B1563="","",IF(ISERROR(MATCH($J1563,SorP!$B$1:$B$6230,0)),"",INDIRECT("'SorP'!$A$"&amp;MATCH($J1563,SorP!$B$1:$B$6230,0))))</f>
        <v/>
      </c>
      <c r="U1563" s="241"/>
      <c r="V1563" s="275" t="e">
        <f>IF(C1563="",NA(),MATCH($B1563&amp;$C1563,'Smelter Look-up'!$J:$J,0))</f>
        <v>#N/A</v>
      </c>
      <c r="W1563" s="276"/>
      <c r="X1563" s="276">
        <f t="shared" ca="1" si="220"/>
        <v>0</v>
      </c>
      <c r="Y1563" s="276"/>
      <c r="Z1563" s="276"/>
      <c r="AB1563" s="278" t="str">
        <f t="shared" si="221"/>
        <v/>
      </c>
    </row>
    <row r="1564" spans="1:28" s="277" customFormat="1" ht="20.25">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ref="S1564:S1594" ca="1" si="222">IF(B1564="","",IF(ISERROR(MATCH($E1564,CL,0)),"Unknown",INDIRECT("'C'!$A$"&amp;MATCH($E1564,CL,0)+1)))</f>
        <v/>
      </c>
      <c r="T1564" s="225" t="str">
        <f ca="1">IF(B1564="","",IF(ISERROR(MATCH($J1564,SorP!$B$1:$B$6230,0)),"",INDIRECT("'SorP'!$A$"&amp;MATCH($J1564,SorP!$B$1:$B$6230,0))))</f>
        <v/>
      </c>
      <c r="U1564" s="241"/>
      <c r="V1564" s="275" t="e">
        <f>IF(C1564="",NA(),MATCH($B1564&amp;$C1564,'Smelter Look-up'!$J:$J,0))</f>
        <v>#N/A</v>
      </c>
      <c r="W1564" s="276"/>
      <c r="X1564" s="276">
        <f t="shared" ref="X1564:X1594" ca="1" si="223">IF(AND(C1564="Smelter not listed",OR(LEN(D1564)=0,LEN(E1564)=0)),1,0)</f>
        <v>0</v>
      </c>
      <c r="Y1564" s="276"/>
      <c r="Z1564" s="276"/>
      <c r="AB1564" s="278" t="str">
        <f t="shared" ref="AB1564:AB1594" si="224">B1564&amp;C1564</f>
        <v/>
      </c>
    </row>
    <row r="1565" spans="1:28" s="277" customFormat="1" ht="20.25">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22"/>
        <v/>
      </c>
      <c r="T1565" s="225" t="str">
        <f ca="1">IF(B1565="","",IF(ISERROR(MATCH($J1565,SorP!$B$1:$B$6230,0)),"",INDIRECT("'SorP'!$A$"&amp;MATCH($J1565,SorP!$B$1:$B$6230,0))))</f>
        <v/>
      </c>
      <c r="U1565" s="241"/>
      <c r="V1565" s="275" t="e">
        <f>IF(C1565="",NA(),MATCH($B1565&amp;$C1565,'Smelter Look-up'!$J:$J,0))</f>
        <v>#N/A</v>
      </c>
      <c r="W1565" s="276"/>
      <c r="X1565" s="276">
        <f t="shared" ca="1" si="223"/>
        <v>0</v>
      </c>
      <c r="Y1565" s="276"/>
      <c r="Z1565" s="276"/>
      <c r="AB1565" s="278" t="str">
        <f t="shared" si="224"/>
        <v/>
      </c>
    </row>
    <row r="1566" spans="1:28" s="277" customFormat="1" ht="20.25">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22"/>
        <v/>
      </c>
      <c r="T1566" s="225" t="str">
        <f ca="1">IF(B1566="","",IF(ISERROR(MATCH($J1566,SorP!$B$1:$B$6230,0)),"",INDIRECT("'SorP'!$A$"&amp;MATCH($J1566,SorP!$B$1:$B$6230,0))))</f>
        <v/>
      </c>
      <c r="U1566" s="241"/>
      <c r="V1566" s="275" t="e">
        <f>IF(C1566="",NA(),MATCH($B1566&amp;$C1566,'Smelter Look-up'!$J:$J,0))</f>
        <v>#N/A</v>
      </c>
      <c r="W1566" s="276"/>
      <c r="X1566" s="276">
        <f t="shared" ca="1" si="223"/>
        <v>0</v>
      </c>
      <c r="Y1566" s="276"/>
      <c r="Z1566" s="276"/>
      <c r="AB1566" s="278" t="str">
        <f t="shared" si="224"/>
        <v/>
      </c>
    </row>
    <row r="1567" spans="1:28" s="277" customFormat="1" ht="20.25">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22"/>
        <v/>
      </c>
      <c r="T1567" s="225" t="str">
        <f ca="1">IF(B1567="","",IF(ISERROR(MATCH($J1567,SorP!$B$1:$B$6230,0)),"",INDIRECT("'SorP'!$A$"&amp;MATCH($J1567,SorP!$B$1:$B$6230,0))))</f>
        <v/>
      </c>
      <c r="U1567" s="241"/>
      <c r="V1567" s="275" t="e">
        <f>IF(C1567="",NA(),MATCH($B1567&amp;$C1567,'Smelter Look-up'!$J:$J,0))</f>
        <v>#N/A</v>
      </c>
      <c r="W1567" s="276"/>
      <c r="X1567" s="276">
        <f t="shared" ca="1" si="223"/>
        <v>0</v>
      </c>
      <c r="Y1567" s="276"/>
      <c r="Z1567" s="276"/>
      <c r="AB1567" s="278" t="str">
        <f t="shared" si="224"/>
        <v/>
      </c>
    </row>
    <row r="1568" spans="1:28" s="277" customFormat="1" ht="20.25">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22"/>
        <v/>
      </c>
      <c r="T1568" s="225" t="str">
        <f ca="1">IF(B1568="","",IF(ISERROR(MATCH($J1568,SorP!$B$1:$B$6230,0)),"",INDIRECT("'SorP'!$A$"&amp;MATCH($J1568,SorP!$B$1:$B$6230,0))))</f>
        <v/>
      </c>
      <c r="U1568" s="241"/>
      <c r="V1568" s="275" t="e">
        <f>IF(C1568="",NA(),MATCH($B1568&amp;$C1568,'Smelter Look-up'!$J:$J,0))</f>
        <v>#N/A</v>
      </c>
      <c r="W1568" s="276"/>
      <c r="X1568" s="276">
        <f t="shared" ca="1" si="223"/>
        <v>0</v>
      </c>
      <c r="Y1568" s="276"/>
      <c r="Z1568" s="276"/>
      <c r="AB1568" s="278" t="str">
        <f t="shared" si="224"/>
        <v/>
      </c>
    </row>
    <row r="1569" spans="1:28" s="277" customFormat="1" ht="20.25">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22"/>
        <v/>
      </c>
      <c r="T1569" s="225" t="str">
        <f ca="1">IF(B1569="","",IF(ISERROR(MATCH($J1569,SorP!$B$1:$B$6230,0)),"",INDIRECT("'SorP'!$A$"&amp;MATCH($J1569,SorP!$B$1:$B$6230,0))))</f>
        <v/>
      </c>
      <c r="U1569" s="241"/>
      <c r="V1569" s="275" t="e">
        <f>IF(C1569="",NA(),MATCH($B1569&amp;$C1569,'Smelter Look-up'!$J:$J,0))</f>
        <v>#N/A</v>
      </c>
      <c r="W1569" s="276"/>
      <c r="X1569" s="276">
        <f t="shared" ca="1" si="223"/>
        <v>0</v>
      </c>
      <c r="Y1569" s="276"/>
      <c r="Z1569" s="276"/>
      <c r="AB1569" s="278" t="str">
        <f t="shared" si="224"/>
        <v/>
      </c>
    </row>
    <row r="1570" spans="1:28" s="277" customFormat="1" ht="20.25">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22"/>
        <v/>
      </c>
      <c r="T1570" s="225" t="str">
        <f ca="1">IF(B1570="","",IF(ISERROR(MATCH($J1570,SorP!$B$1:$B$6230,0)),"",INDIRECT("'SorP'!$A$"&amp;MATCH($J1570,SorP!$B$1:$B$6230,0))))</f>
        <v/>
      </c>
      <c r="U1570" s="241"/>
      <c r="V1570" s="275" t="e">
        <f>IF(C1570="",NA(),MATCH($B1570&amp;$C1570,'Smelter Look-up'!$J:$J,0))</f>
        <v>#N/A</v>
      </c>
      <c r="W1570" s="276"/>
      <c r="X1570" s="276">
        <f t="shared" ca="1" si="223"/>
        <v>0</v>
      </c>
      <c r="Y1570" s="276"/>
      <c r="Z1570" s="276"/>
      <c r="AB1570" s="278" t="str">
        <f t="shared" si="224"/>
        <v/>
      </c>
    </row>
    <row r="1571" spans="1:28" s="277" customFormat="1" ht="20.25">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22"/>
        <v/>
      </c>
      <c r="T1571" s="225" t="str">
        <f ca="1">IF(B1571="","",IF(ISERROR(MATCH($J1571,SorP!$B$1:$B$6230,0)),"",INDIRECT("'SorP'!$A$"&amp;MATCH($J1571,SorP!$B$1:$B$6230,0))))</f>
        <v/>
      </c>
      <c r="U1571" s="241"/>
      <c r="V1571" s="275" t="e">
        <f>IF(C1571="",NA(),MATCH($B1571&amp;$C1571,'Smelter Look-up'!$J:$J,0))</f>
        <v>#N/A</v>
      </c>
      <c r="W1571" s="276"/>
      <c r="X1571" s="276">
        <f t="shared" ca="1" si="223"/>
        <v>0</v>
      </c>
      <c r="Y1571" s="276"/>
      <c r="Z1571" s="276"/>
      <c r="AB1571" s="278" t="str">
        <f t="shared" si="224"/>
        <v/>
      </c>
    </row>
    <row r="1572" spans="1:28" s="277" customFormat="1" ht="20.25">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22"/>
        <v/>
      </c>
      <c r="T1572" s="225" t="str">
        <f ca="1">IF(B1572="","",IF(ISERROR(MATCH($J1572,SorP!$B$1:$B$6230,0)),"",INDIRECT("'SorP'!$A$"&amp;MATCH($J1572,SorP!$B$1:$B$6230,0))))</f>
        <v/>
      </c>
      <c r="U1572" s="241"/>
      <c r="V1572" s="275" t="e">
        <f>IF(C1572="",NA(),MATCH($B1572&amp;$C1572,'Smelter Look-up'!$J:$J,0))</f>
        <v>#N/A</v>
      </c>
      <c r="W1572" s="276"/>
      <c r="X1572" s="276">
        <f t="shared" ca="1" si="223"/>
        <v>0</v>
      </c>
      <c r="Y1572" s="276"/>
      <c r="Z1572" s="276"/>
      <c r="AB1572" s="278" t="str">
        <f t="shared" si="224"/>
        <v/>
      </c>
    </row>
    <row r="1573" spans="1:28" s="277" customFormat="1" ht="20.25">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22"/>
        <v/>
      </c>
      <c r="T1573" s="225" t="str">
        <f ca="1">IF(B1573="","",IF(ISERROR(MATCH($J1573,SorP!$B$1:$B$6230,0)),"",INDIRECT("'SorP'!$A$"&amp;MATCH($J1573,SorP!$B$1:$B$6230,0))))</f>
        <v/>
      </c>
      <c r="U1573" s="241"/>
      <c r="V1573" s="275" t="e">
        <f>IF(C1573="",NA(),MATCH($B1573&amp;$C1573,'Smelter Look-up'!$J:$J,0))</f>
        <v>#N/A</v>
      </c>
      <c r="W1573" s="276"/>
      <c r="X1573" s="276">
        <f t="shared" ca="1" si="223"/>
        <v>0</v>
      </c>
      <c r="Y1573" s="276"/>
      <c r="Z1573" s="276"/>
      <c r="AB1573" s="278" t="str">
        <f t="shared" si="224"/>
        <v/>
      </c>
    </row>
    <row r="1574" spans="1:28" s="277" customFormat="1" ht="20.25">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22"/>
        <v/>
      </c>
      <c r="T1574" s="225" t="str">
        <f ca="1">IF(B1574="","",IF(ISERROR(MATCH($J1574,SorP!$B$1:$B$6230,0)),"",INDIRECT("'SorP'!$A$"&amp;MATCH($J1574,SorP!$B$1:$B$6230,0))))</f>
        <v/>
      </c>
      <c r="U1574" s="241"/>
      <c r="V1574" s="275" t="e">
        <f>IF(C1574="",NA(),MATCH($B1574&amp;$C1574,'Smelter Look-up'!$J:$J,0))</f>
        <v>#N/A</v>
      </c>
      <c r="W1574" s="276"/>
      <c r="X1574" s="276">
        <f t="shared" ca="1" si="223"/>
        <v>0</v>
      </c>
      <c r="Y1574" s="276"/>
      <c r="Z1574" s="276"/>
      <c r="AB1574" s="278" t="str">
        <f t="shared" si="224"/>
        <v/>
      </c>
    </row>
    <row r="1575" spans="1:28" s="277" customFormat="1" ht="20.25">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22"/>
        <v/>
      </c>
      <c r="T1575" s="225" t="str">
        <f ca="1">IF(B1575="","",IF(ISERROR(MATCH($J1575,SorP!$B$1:$B$6230,0)),"",INDIRECT("'SorP'!$A$"&amp;MATCH($J1575,SorP!$B$1:$B$6230,0))))</f>
        <v/>
      </c>
      <c r="U1575" s="241"/>
      <c r="V1575" s="275" t="e">
        <f>IF(C1575="",NA(),MATCH($B1575&amp;$C1575,'Smelter Look-up'!$J:$J,0))</f>
        <v>#N/A</v>
      </c>
      <c r="W1575" s="276"/>
      <c r="X1575" s="276">
        <f t="shared" ca="1" si="223"/>
        <v>0</v>
      </c>
      <c r="Y1575" s="276"/>
      <c r="Z1575" s="276"/>
      <c r="AB1575" s="278" t="str">
        <f t="shared" si="224"/>
        <v/>
      </c>
    </row>
    <row r="1576" spans="1:28" s="277" customFormat="1" ht="20.25">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22"/>
        <v/>
      </c>
      <c r="T1576" s="225" t="str">
        <f ca="1">IF(B1576="","",IF(ISERROR(MATCH($J1576,SorP!$B$1:$B$6230,0)),"",INDIRECT("'SorP'!$A$"&amp;MATCH($J1576,SorP!$B$1:$B$6230,0))))</f>
        <v/>
      </c>
      <c r="U1576" s="241"/>
      <c r="V1576" s="275" t="e">
        <f>IF(C1576="",NA(),MATCH($B1576&amp;$C1576,'Smelter Look-up'!$J:$J,0))</f>
        <v>#N/A</v>
      </c>
      <c r="W1576" s="276"/>
      <c r="X1576" s="276">
        <f t="shared" ca="1" si="223"/>
        <v>0</v>
      </c>
      <c r="Y1576" s="276"/>
      <c r="Z1576" s="276"/>
      <c r="AB1576" s="278" t="str">
        <f t="shared" si="224"/>
        <v/>
      </c>
    </row>
    <row r="1577" spans="1:28" s="277" customFormat="1" ht="20.25">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22"/>
        <v/>
      </c>
      <c r="T1577" s="225" t="str">
        <f ca="1">IF(B1577="","",IF(ISERROR(MATCH($J1577,SorP!$B$1:$B$6230,0)),"",INDIRECT("'SorP'!$A$"&amp;MATCH($J1577,SorP!$B$1:$B$6230,0))))</f>
        <v/>
      </c>
      <c r="U1577" s="241"/>
      <c r="V1577" s="275" t="e">
        <f>IF(C1577="",NA(),MATCH($B1577&amp;$C1577,'Smelter Look-up'!$J:$J,0))</f>
        <v>#N/A</v>
      </c>
      <c r="W1577" s="276"/>
      <c r="X1577" s="276">
        <f t="shared" ca="1" si="223"/>
        <v>0</v>
      </c>
      <c r="Y1577" s="276"/>
      <c r="Z1577" s="276"/>
      <c r="AB1577" s="278" t="str">
        <f t="shared" si="224"/>
        <v/>
      </c>
    </row>
    <row r="1578" spans="1:28" s="277" customFormat="1" ht="20.25">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22"/>
        <v/>
      </c>
      <c r="T1578" s="225" t="str">
        <f ca="1">IF(B1578="","",IF(ISERROR(MATCH($J1578,SorP!$B$1:$B$6230,0)),"",INDIRECT("'SorP'!$A$"&amp;MATCH($J1578,SorP!$B$1:$B$6230,0))))</f>
        <v/>
      </c>
      <c r="U1578" s="241"/>
      <c r="V1578" s="275" t="e">
        <f>IF(C1578="",NA(),MATCH($B1578&amp;$C1578,'Smelter Look-up'!$J:$J,0))</f>
        <v>#N/A</v>
      </c>
      <c r="W1578" s="276"/>
      <c r="X1578" s="276">
        <f t="shared" ca="1" si="223"/>
        <v>0</v>
      </c>
      <c r="Y1578" s="276"/>
      <c r="Z1578" s="276"/>
      <c r="AB1578" s="278" t="str">
        <f t="shared" si="224"/>
        <v/>
      </c>
    </row>
    <row r="1579" spans="1:28" s="277" customFormat="1" ht="20.25">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22"/>
        <v/>
      </c>
      <c r="T1579" s="225" t="str">
        <f ca="1">IF(B1579="","",IF(ISERROR(MATCH($J1579,SorP!$B$1:$B$6230,0)),"",INDIRECT("'SorP'!$A$"&amp;MATCH($J1579,SorP!$B$1:$B$6230,0))))</f>
        <v/>
      </c>
      <c r="U1579" s="241"/>
      <c r="V1579" s="275" t="e">
        <f>IF(C1579="",NA(),MATCH($B1579&amp;$C1579,'Smelter Look-up'!$J:$J,0))</f>
        <v>#N/A</v>
      </c>
      <c r="W1579" s="276"/>
      <c r="X1579" s="276">
        <f t="shared" ca="1" si="223"/>
        <v>0</v>
      </c>
      <c r="Y1579" s="276"/>
      <c r="Z1579" s="276"/>
      <c r="AB1579" s="278" t="str">
        <f t="shared" si="224"/>
        <v/>
      </c>
    </row>
    <row r="1580" spans="1:28" s="277" customFormat="1" ht="20.25">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22"/>
        <v/>
      </c>
      <c r="T1580" s="225" t="str">
        <f ca="1">IF(B1580="","",IF(ISERROR(MATCH($J1580,SorP!$B$1:$B$6230,0)),"",INDIRECT("'SorP'!$A$"&amp;MATCH($J1580,SorP!$B$1:$B$6230,0))))</f>
        <v/>
      </c>
      <c r="U1580" s="241"/>
      <c r="V1580" s="275" t="e">
        <f>IF(C1580="",NA(),MATCH($B1580&amp;$C1580,'Smelter Look-up'!$J:$J,0))</f>
        <v>#N/A</v>
      </c>
      <c r="W1580" s="276"/>
      <c r="X1580" s="276">
        <f t="shared" ca="1" si="223"/>
        <v>0</v>
      </c>
      <c r="Y1580" s="276"/>
      <c r="Z1580" s="276"/>
      <c r="AB1580" s="278" t="str">
        <f t="shared" si="224"/>
        <v/>
      </c>
    </row>
    <row r="1581" spans="1:28" s="277" customFormat="1" ht="20.25">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22"/>
        <v/>
      </c>
      <c r="T1581" s="225" t="str">
        <f ca="1">IF(B1581="","",IF(ISERROR(MATCH($J1581,SorP!$B$1:$B$6230,0)),"",INDIRECT("'SorP'!$A$"&amp;MATCH($J1581,SorP!$B$1:$B$6230,0))))</f>
        <v/>
      </c>
      <c r="U1581" s="241"/>
      <c r="V1581" s="275" t="e">
        <f>IF(C1581="",NA(),MATCH($B1581&amp;$C1581,'Smelter Look-up'!$J:$J,0))</f>
        <v>#N/A</v>
      </c>
      <c r="W1581" s="276"/>
      <c r="X1581" s="276">
        <f t="shared" ca="1" si="223"/>
        <v>0</v>
      </c>
      <c r="Y1581" s="276"/>
      <c r="Z1581" s="276"/>
      <c r="AB1581" s="278" t="str">
        <f t="shared" si="224"/>
        <v/>
      </c>
    </row>
    <row r="1582" spans="1:28" s="277" customFormat="1" ht="20.25">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22"/>
        <v/>
      </c>
      <c r="T1582" s="225" t="str">
        <f ca="1">IF(B1582="","",IF(ISERROR(MATCH($J1582,SorP!$B$1:$B$6230,0)),"",INDIRECT("'SorP'!$A$"&amp;MATCH($J1582,SorP!$B$1:$B$6230,0))))</f>
        <v/>
      </c>
      <c r="U1582" s="241"/>
      <c r="V1582" s="275" t="e">
        <f>IF(C1582="",NA(),MATCH($B1582&amp;$C1582,'Smelter Look-up'!$J:$J,0))</f>
        <v>#N/A</v>
      </c>
      <c r="W1582" s="276"/>
      <c r="X1582" s="276">
        <f t="shared" ca="1" si="223"/>
        <v>0</v>
      </c>
      <c r="Y1582" s="276"/>
      <c r="Z1582" s="276"/>
      <c r="AB1582" s="278" t="str">
        <f t="shared" si="224"/>
        <v/>
      </c>
    </row>
    <row r="1583" spans="1:28" s="277" customFormat="1" ht="20.25">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222"/>
        <v/>
      </c>
      <c r="T1583" s="225" t="str">
        <f ca="1">IF(B1583="","",IF(ISERROR(MATCH($J1583,SorP!$B$1:$B$6230,0)),"",INDIRECT("'SorP'!$A$"&amp;MATCH($J1583,SorP!$B$1:$B$6230,0))))</f>
        <v/>
      </c>
      <c r="U1583" s="241"/>
      <c r="V1583" s="275" t="e">
        <f>IF(C1583="",NA(),MATCH($B1583&amp;$C1583,'Smelter Look-up'!$J:$J,0))</f>
        <v>#N/A</v>
      </c>
      <c r="W1583" s="276"/>
      <c r="X1583" s="276">
        <f t="shared" ca="1" si="223"/>
        <v>0</v>
      </c>
      <c r="Y1583" s="276"/>
      <c r="Z1583" s="276"/>
      <c r="AB1583" s="278" t="str">
        <f t="shared" si="224"/>
        <v/>
      </c>
    </row>
    <row r="1584" spans="1:28" s="277" customFormat="1" ht="20.25">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222"/>
        <v/>
      </c>
      <c r="T1584" s="225" t="str">
        <f ca="1">IF(B1584="","",IF(ISERROR(MATCH($J1584,SorP!$B$1:$B$6230,0)),"",INDIRECT("'SorP'!$A$"&amp;MATCH($J1584,SorP!$B$1:$B$6230,0))))</f>
        <v/>
      </c>
      <c r="U1584" s="241"/>
      <c r="V1584" s="275" t="e">
        <f>IF(C1584="",NA(),MATCH($B1584&amp;$C1584,'Smelter Look-up'!$J:$J,0))</f>
        <v>#N/A</v>
      </c>
      <c r="W1584" s="276"/>
      <c r="X1584" s="276">
        <f t="shared" ca="1" si="223"/>
        <v>0</v>
      </c>
      <c r="Y1584" s="276"/>
      <c r="Z1584" s="276"/>
      <c r="AB1584" s="278" t="str">
        <f t="shared" si="224"/>
        <v/>
      </c>
    </row>
    <row r="1585" spans="1:28" s="277" customFormat="1" ht="20.25">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222"/>
        <v/>
      </c>
      <c r="T1585" s="225" t="str">
        <f ca="1">IF(B1585="","",IF(ISERROR(MATCH($J1585,SorP!$B$1:$B$6230,0)),"",INDIRECT("'SorP'!$A$"&amp;MATCH($J1585,SorP!$B$1:$B$6230,0))))</f>
        <v/>
      </c>
      <c r="U1585" s="241"/>
      <c r="V1585" s="275" t="e">
        <f>IF(C1585="",NA(),MATCH($B1585&amp;$C1585,'Smelter Look-up'!$J:$J,0))</f>
        <v>#N/A</v>
      </c>
      <c r="W1585" s="276"/>
      <c r="X1585" s="276">
        <f t="shared" ca="1" si="223"/>
        <v>0</v>
      </c>
      <c r="Y1585" s="276"/>
      <c r="Z1585" s="276"/>
      <c r="AB1585" s="278" t="str">
        <f t="shared" si="224"/>
        <v/>
      </c>
    </row>
    <row r="1586" spans="1:28" s="277" customFormat="1" ht="20.25">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222"/>
        <v/>
      </c>
      <c r="T1586" s="225" t="str">
        <f ca="1">IF(B1586="","",IF(ISERROR(MATCH($J1586,SorP!$B$1:$B$6230,0)),"",INDIRECT("'SorP'!$A$"&amp;MATCH($J1586,SorP!$B$1:$B$6230,0))))</f>
        <v/>
      </c>
      <c r="U1586" s="241"/>
      <c r="V1586" s="275" t="e">
        <f>IF(C1586="",NA(),MATCH($B1586&amp;$C1586,'Smelter Look-up'!$J:$J,0))</f>
        <v>#N/A</v>
      </c>
      <c r="W1586" s="276"/>
      <c r="X1586" s="276">
        <f t="shared" ca="1" si="223"/>
        <v>0</v>
      </c>
      <c r="Y1586" s="276"/>
      <c r="Z1586" s="276"/>
      <c r="AB1586" s="278" t="str">
        <f t="shared" si="224"/>
        <v/>
      </c>
    </row>
    <row r="1587" spans="1:28" s="277" customFormat="1" ht="20.25">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22"/>
        <v/>
      </c>
      <c r="T1587" s="225" t="str">
        <f ca="1">IF(B1587="","",IF(ISERROR(MATCH($J1587,SorP!$B$1:$B$6230,0)),"",INDIRECT("'SorP'!$A$"&amp;MATCH($J1587,SorP!$B$1:$B$6230,0))))</f>
        <v/>
      </c>
      <c r="U1587" s="241"/>
      <c r="V1587" s="275" t="e">
        <f>IF(C1587="",NA(),MATCH($B1587&amp;$C1587,'Smelter Look-up'!$J:$J,0))</f>
        <v>#N/A</v>
      </c>
      <c r="W1587" s="276"/>
      <c r="X1587" s="276">
        <f t="shared" ca="1" si="223"/>
        <v>0</v>
      </c>
      <c r="Y1587" s="276"/>
      <c r="Z1587" s="276"/>
      <c r="AB1587" s="278" t="str">
        <f t="shared" si="224"/>
        <v/>
      </c>
    </row>
    <row r="1588" spans="1:28" s="277" customFormat="1" ht="20.25">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22"/>
        <v/>
      </c>
      <c r="T1588" s="225" t="str">
        <f ca="1">IF(B1588="","",IF(ISERROR(MATCH($J1588,SorP!$B$1:$B$6230,0)),"",INDIRECT("'SorP'!$A$"&amp;MATCH($J1588,SorP!$B$1:$B$6230,0))))</f>
        <v/>
      </c>
      <c r="U1588" s="241"/>
      <c r="V1588" s="275" t="e">
        <f>IF(C1588="",NA(),MATCH($B1588&amp;$C1588,'Smelter Look-up'!$J:$J,0))</f>
        <v>#N/A</v>
      </c>
      <c r="W1588" s="276"/>
      <c r="X1588" s="276">
        <f t="shared" ca="1" si="223"/>
        <v>0</v>
      </c>
      <c r="Y1588" s="276"/>
      <c r="Z1588" s="276"/>
      <c r="AB1588" s="278" t="str">
        <f t="shared" si="224"/>
        <v/>
      </c>
    </row>
    <row r="1589" spans="1:28" s="277" customFormat="1" ht="20.25">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22"/>
        <v/>
      </c>
      <c r="T1589" s="225" t="str">
        <f ca="1">IF(B1589="","",IF(ISERROR(MATCH($J1589,SorP!$B$1:$B$6230,0)),"",INDIRECT("'SorP'!$A$"&amp;MATCH($J1589,SorP!$B$1:$B$6230,0))))</f>
        <v/>
      </c>
      <c r="U1589" s="241"/>
      <c r="V1589" s="275" t="e">
        <f>IF(C1589="",NA(),MATCH($B1589&amp;$C1589,'Smelter Look-up'!$J:$J,0))</f>
        <v>#N/A</v>
      </c>
      <c r="W1589" s="276"/>
      <c r="X1589" s="276">
        <f t="shared" ca="1" si="223"/>
        <v>0</v>
      </c>
      <c r="Y1589" s="276"/>
      <c r="Z1589" s="276"/>
      <c r="AB1589" s="278" t="str">
        <f t="shared" si="224"/>
        <v/>
      </c>
    </row>
    <row r="1590" spans="1:28" s="277" customFormat="1" ht="20.25">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22"/>
        <v/>
      </c>
      <c r="T1590" s="225" t="str">
        <f ca="1">IF(B1590="","",IF(ISERROR(MATCH($J1590,SorP!$B$1:$B$6230,0)),"",INDIRECT("'SorP'!$A$"&amp;MATCH($J1590,SorP!$B$1:$B$6230,0))))</f>
        <v/>
      </c>
      <c r="U1590" s="241"/>
      <c r="V1590" s="275" t="e">
        <f>IF(C1590="",NA(),MATCH($B1590&amp;$C1590,'Smelter Look-up'!$J:$J,0))</f>
        <v>#N/A</v>
      </c>
      <c r="W1590" s="276"/>
      <c r="X1590" s="276">
        <f t="shared" ca="1" si="223"/>
        <v>0</v>
      </c>
      <c r="Y1590" s="276"/>
      <c r="Z1590" s="276"/>
      <c r="AB1590" s="278" t="str">
        <f t="shared" si="224"/>
        <v/>
      </c>
    </row>
    <row r="1591" spans="1:28" s="277" customFormat="1" ht="20.25">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22"/>
        <v/>
      </c>
      <c r="T1591" s="225" t="str">
        <f ca="1">IF(B1591="","",IF(ISERROR(MATCH($J1591,SorP!$B$1:$B$6230,0)),"",INDIRECT("'SorP'!$A$"&amp;MATCH($J1591,SorP!$B$1:$B$6230,0))))</f>
        <v/>
      </c>
      <c r="U1591" s="241"/>
      <c r="V1591" s="275" t="e">
        <f>IF(C1591="",NA(),MATCH($B1591&amp;$C1591,'Smelter Look-up'!$J:$J,0))</f>
        <v>#N/A</v>
      </c>
      <c r="W1591" s="276"/>
      <c r="X1591" s="276">
        <f t="shared" ca="1" si="223"/>
        <v>0</v>
      </c>
      <c r="Y1591" s="276"/>
      <c r="Z1591" s="276"/>
      <c r="AB1591" s="278" t="str">
        <f t="shared" si="224"/>
        <v/>
      </c>
    </row>
    <row r="1592" spans="1:28" s="277" customFormat="1" ht="20.25">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22"/>
        <v/>
      </c>
      <c r="T1592" s="225" t="str">
        <f ca="1">IF(B1592="","",IF(ISERROR(MATCH($J1592,SorP!$B$1:$B$6230,0)),"",INDIRECT("'SorP'!$A$"&amp;MATCH($J1592,SorP!$B$1:$B$6230,0))))</f>
        <v/>
      </c>
      <c r="U1592" s="241"/>
      <c r="V1592" s="275" t="e">
        <f>IF(C1592="",NA(),MATCH($B1592&amp;$C1592,'Smelter Look-up'!$J:$J,0))</f>
        <v>#N/A</v>
      </c>
      <c r="W1592" s="276"/>
      <c r="X1592" s="276">
        <f t="shared" ca="1" si="223"/>
        <v>0</v>
      </c>
      <c r="Y1592" s="276"/>
      <c r="Z1592" s="276"/>
      <c r="AB1592" s="278" t="str">
        <f t="shared" si="224"/>
        <v/>
      </c>
    </row>
    <row r="1593" spans="1:28" s="277" customFormat="1" ht="20.25">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22"/>
        <v/>
      </c>
      <c r="T1593" s="225" t="str">
        <f ca="1">IF(B1593="","",IF(ISERROR(MATCH($J1593,SorP!$B$1:$B$6230,0)),"",INDIRECT("'SorP'!$A$"&amp;MATCH($J1593,SorP!$B$1:$B$6230,0))))</f>
        <v/>
      </c>
      <c r="U1593" s="241"/>
      <c r="V1593" s="275" t="e">
        <f>IF(C1593="",NA(),MATCH($B1593&amp;$C1593,'Smelter Look-up'!$J:$J,0))</f>
        <v>#N/A</v>
      </c>
      <c r="W1593" s="276"/>
      <c r="X1593" s="276">
        <f t="shared" ca="1" si="223"/>
        <v>0</v>
      </c>
      <c r="Y1593" s="276"/>
      <c r="Z1593" s="276"/>
      <c r="AB1593" s="278" t="str">
        <f t="shared" si="224"/>
        <v/>
      </c>
    </row>
    <row r="1594" spans="1:28" s="277" customFormat="1" ht="20.25">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222"/>
        <v/>
      </c>
      <c r="T1594" s="225" t="str">
        <f ca="1">IF(B1594="","",IF(ISERROR(MATCH($J1594,SorP!$B$1:$B$6230,0)),"",INDIRECT("'SorP'!$A$"&amp;MATCH($J1594,SorP!$B$1:$B$6230,0))))</f>
        <v/>
      </c>
      <c r="U1594" s="241"/>
      <c r="V1594" s="275" t="e">
        <f>IF(C1594="",NA(),MATCH($B1594&amp;$C1594,'Smelter Look-up'!$J:$J,0))</f>
        <v>#N/A</v>
      </c>
      <c r="W1594" s="276"/>
      <c r="X1594" s="276">
        <f t="shared" ca="1" si="223"/>
        <v>0</v>
      </c>
      <c r="Y1594" s="276"/>
      <c r="Z1594" s="276"/>
      <c r="AB1594" s="278" t="str">
        <f t="shared" si="224"/>
        <v/>
      </c>
    </row>
    <row r="1595" spans="1:28" s="277" customFormat="1" ht="20.25">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ref="S1595" ca="1" si="225">IF(B1595="","",IF(ISERROR(MATCH($E1595,CL,0)),"Unknown",INDIRECT("'C'!$A$"&amp;MATCH($E1595,CL,0)+1)))</f>
        <v/>
      </c>
      <c r="T1595" s="225" t="str">
        <f ca="1">IF(B1595="","",IF(ISERROR(MATCH($J1595,SorP!$B$1:$B$6230,0)),"",INDIRECT("'SorP'!$A$"&amp;MATCH($J1595,SorP!$B$1:$B$6230,0))))</f>
        <v/>
      </c>
      <c r="U1595" s="241"/>
      <c r="V1595" s="275" t="e">
        <f>IF(C1595="",NA(),MATCH($B1595&amp;$C1595,'Smelter Look-up'!$J:$J,0))</f>
        <v>#N/A</v>
      </c>
      <c r="W1595" s="276"/>
      <c r="X1595" s="276">
        <f t="shared" ref="X1595" ca="1" si="226">IF(AND(C1595="Smelter not listed",OR(LEN(D1595)=0,LEN(E1595)=0)),1,0)</f>
        <v>0</v>
      </c>
      <c r="Y1595" s="276"/>
      <c r="Z1595" s="276"/>
      <c r="AB1595" s="278" t="str">
        <f t="shared" ref="AB1595" si="227">B1595&amp;C1595</f>
        <v/>
      </c>
    </row>
    <row r="1596" spans="1:28" s="277" customFormat="1" ht="20.25">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ref="S1596:S1627" ca="1" si="228">IF(B1596="","",IF(ISERROR(MATCH($E1596,CL,0)),"Unknown",INDIRECT("'C'!$A$"&amp;MATCH($E1596,CL,0)+1)))</f>
        <v/>
      </c>
      <c r="T1596" s="225" t="str">
        <f ca="1">IF(B1596="","",IF(ISERROR(MATCH($J1596,SorP!$B$1:$B$6230,0)),"",INDIRECT("'SorP'!$A$"&amp;MATCH($J1596,SorP!$B$1:$B$6230,0))))</f>
        <v/>
      </c>
      <c r="U1596" s="241"/>
      <c r="V1596" s="275" t="e">
        <f>IF(C1596="",NA(),MATCH($B1596&amp;$C1596,'Smelter Look-up'!$J:$J,0))</f>
        <v>#N/A</v>
      </c>
      <c r="W1596" s="276"/>
      <c r="X1596" s="276">
        <f t="shared" ref="X1596:X1627" ca="1" si="229">IF(AND(C1596="Smelter not listed",OR(LEN(D1596)=0,LEN(E1596)=0)),1,0)</f>
        <v>0</v>
      </c>
      <c r="Y1596" s="276"/>
      <c r="Z1596" s="276"/>
      <c r="AB1596" s="278" t="str">
        <f t="shared" ref="AB1596:AB1627" si="230">B1596&amp;C1596</f>
        <v/>
      </c>
    </row>
    <row r="1597" spans="1:28" s="277" customFormat="1" ht="20.25">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28"/>
        <v/>
      </c>
      <c r="T1597" s="225" t="str">
        <f ca="1">IF(B1597="","",IF(ISERROR(MATCH($J1597,SorP!$B$1:$B$6230,0)),"",INDIRECT("'SorP'!$A$"&amp;MATCH($J1597,SorP!$B$1:$B$6230,0))))</f>
        <v/>
      </c>
      <c r="U1597" s="241"/>
      <c r="V1597" s="275" t="e">
        <f>IF(C1597="",NA(),MATCH($B1597&amp;$C1597,'Smelter Look-up'!$J:$J,0))</f>
        <v>#N/A</v>
      </c>
      <c r="W1597" s="276"/>
      <c r="X1597" s="276">
        <f t="shared" ca="1" si="229"/>
        <v>0</v>
      </c>
      <c r="Y1597" s="276"/>
      <c r="Z1597" s="276"/>
      <c r="AB1597" s="278" t="str">
        <f t="shared" si="230"/>
        <v/>
      </c>
    </row>
    <row r="1598" spans="1:28" s="277" customFormat="1" ht="20.25">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28"/>
        <v/>
      </c>
      <c r="T1598" s="225" t="str">
        <f ca="1">IF(B1598="","",IF(ISERROR(MATCH($J1598,SorP!$B$1:$B$6230,0)),"",INDIRECT("'SorP'!$A$"&amp;MATCH($J1598,SorP!$B$1:$B$6230,0))))</f>
        <v/>
      </c>
      <c r="U1598" s="241"/>
      <c r="V1598" s="275" t="e">
        <f>IF(C1598="",NA(),MATCH($B1598&amp;$C1598,'Smelter Look-up'!$J:$J,0))</f>
        <v>#N/A</v>
      </c>
      <c r="W1598" s="276"/>
      <c r="X1598" s="276">
        <f t="shared" ca="1" si="229"/>
        <v>0</v>
      </c>
      <c r="Y1598" s="276"/>
      <c r="Z1598" s="276"/>
      <c r="AB1598" s="278" t="str">
        <f t="shared" si="230"/>
        <v/>
      </c>
    </row>
    <row r="1599" spans="1:28" s="277" customFormat="1" ht="20.25">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28"/>
        <v/>
      </c>
      <c r="T1599" s="225" t="str">
        <f ca="1">IF(B1599="","",IF(ISERROR(MATCH($J1599,SorP!$B$1:$B$6230,0)),"",INDIRECT("'SorP'!$A$"&amp;MATCH($J1599,SorP!$B$1:$B$6230,0))))</f>
        <v/>
      </c>
      <c r="U1599" s="241"/>
      <c r="V1599" s="275" t="e">
        <f>IF(C1599="",NA(),MATCH($B1599&amp;$C1599,'Smelter Look-up'!$J:$J,0))</f>
        <v>#N/A</v>
      </c>
      <c r="W1599" s="276"/>
      <c r="X1599" s="276">
        <f t="shared" ca="1" si="229"/>
        <v>0</v>
      </c>
      <c r="Y1599" s="276"/>
      <c r="Z1599" s="276"/>
      <c r="AB1599" s="278" t="str">
        <f t="shared" si="230"/>
        <v/>
      </c>
    </row>
    <row r="1600" spans="1:28" s="277" customFormat="1" ht="20.25">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28"/>
        <v/>
      </c>
      <c r="T1600" s="225" t="str">
        <f ca="1">IF(B1600="","",IF(ISERROR(MATCH($J1600,SorP!$B$1:$B$6230,0)),"",INDIRECT("'SorP'!$A$"&amp;MATCH($J1600,SorP!$B$1:$B$6230,0))))</f>
        <v/>
      </c>
      <c r="U1600" s="241"/>
      <c r="V1600" s="275" t="e">
        <f>IF(C1600="",NA(),MATCH($B1600&amp;$C1600,'Smelter Look-up'!$J:$J,0))</f>
        <v>#N/A</v>
      </c>
      <c r="W1600" s="276"/>
      <c r="X1600" s="276">
        <f t="shared" ca="1" si="229"/>
        <v>0</v>
      </c>
      <c r="Y1600" s="276"/>
      <c r="Z1600" s="276"/>
      <c r="AB1600" s="278" t="str">
        <f t="shared" si="230"/>
        <v/>
      </c>
    </row>
    <row r="1601" spans="1:28" s="277" customFormat="1" ht="20.25">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28"/>
        <v/>
      </c>
      <c r="T1601" s="225" t="str">
        <f ca="1">IF(B1601="","",IF(ISERROR(MATCH($J1601,SorP!$B$1:$B$6230,0)),"",INDIRECT("'SorP'!$A$"&amp;MATCH($J1601,SorP!$B$1:$B$6230,0))))</f>
        <v/>
      </c>
      <c r="U1601" s="241"/>
      <c r="V1601" s="275" t="e">
        <f>IF(C1601="",NA(),MATCH($B1601&amp;$C1601,'Smelter Look-up'!$J:$J,0))</f>
        <v>#N/A</v>
      </c>
      <c r="W1601" s="276"/>
      <c r="X1601" s="276">
        <f t="shared" ca="1" si="229"/>
        <v>0</v>
      </c>
      <c r="Y1601" s="276"/>
      <c r="Z1601" s="276"/>
      <c r="AB1601" s="278" t="str">
        <f t="shared" si="230"/>
        <v/>
      </c>
    </row>
    <row r="1602" spans="1:28" s="277" customFormat="1" ht="20.25">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28"/>
        <v/>
      </c>
      <c r="T1602" s="225" t="str">
        <f ca="1">IF(B1602="","",IF(ISERROR(MATCH($J1602,SorP!$B$1:$B$6230,0)),"",INDIRECT("'SorP'!$A$"&amp;MATCH($J1602,SorP!$B$1:$B$6230,0))))</f>
        <v/>
      </c>
      <c r="U1602" s="241"/>
      <c r="V1602" s="275" t="e">
        <f>IF(C1602="",NA(),MATCH($B1602&amp;$C1602,'Smelter Look-up'!$J:$J,0))</f>
        <v>#N/A</v>
      </c>
      <c r="W1602" s="276"/>
      <c r="X1602" s="276">
        <f t="shared" ca="1" si="229"/>
        <v>0</v>
      </c>
      <c r="Y1602" s="276"/>
      <c r="Z1602" s="276"/>
      <c r="AB1602" s="278" t="str">
        <f t="shared" si="230"/>
        <v/>
      </c>
    </row>
    <row r="1603" spans="1:28" s="277" customFormat="1" ht="20.25">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28"/>
        <v/>
      </c>
      <c r="T1603" s="225" t="str">
        <f ca="1">IF(B1603="","",IF(ISERROR(MATCH($J1603,SorP!$B$1:$B$6230,0)),"",INDIRECT("'SorP'!$A$"&amp;MATCH($J1603,SorP!$B$1:$B$6230,0))))</f>
        <v/>
      </c>
      <c r="U1603" s="241"/>
      <c r="V1603" s="275" t="e">
        <f>IF(C1603="",NA(),MATCH($B1603&amp;$C1603,'Smelter Look-up'!$J:$J,0))</f>
        <v>#N/A</v>
      </c>
      <c r="W1603" s="276"/>
      <c r="X1603" s="276">
        <f t="shared" ca="1" si="229"/>
        <v>0</v>
      </c>
      <c r="Y1603" s="276"/>
      <c r="Z1603" s="276"/>
      <c r="AB1603" s="278" t="str">
        <f t="shared" si="230"/>
        <v/>
      </c>
    </row>
    <row r="1604" spans="1:28" s="277" customFormat="1" ht="20.25">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28"/>
        <v/>
      </c>
      <c r="T1604" s="225" t="str">
        <f ca="1">IF(B1604="","",IF(ISERROR(MATCH($J1604,SorP!$B$1:$B$6230,0)),"",INDIRECT("'SorP'!$A$"&amp;MATCH($J1604,SorP!$B$1:$B$6230,0))))</f>
        <v/>
      </c>
      <c r="U1604" s="241"/>
      <c r="V1604" s="275" t="e">
        <f>IF(C1604="",NA(),MATCH($B1604&amp;$C1604,'Smelter Look-up'!$J:$J,0))</f>
        <v>#N/A</v>
      </c>
      <c r="W1604" s="276"/>
      <c r="X1604" s="276">
        <f t="shared" ca="1" si="229"/>
        <v>0</v>
      </c>
      <c r="Y1604" s="276"/>
      <c r="Z1604" s="276"/>
      <c r="AB1604" s="278" t="str">
        <f t="shared" si="230"/>
        <v/>
      </c>
    </row>
    <row r="1605" spans="1:28" s="277" customFormat="1" ht="20.25">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28"/>
        <v/>
      </c>
      <c r="T1605" s="225" t="str">
        <f ca="1">IF(B1605="","",IF(ISERROR(MATCH($J1605,SorP!$B$1:$B$6230,0)),"",INDIRECT("'SorP'!$A$"&amp;MATCH($J1605,SorP!$B$1:$B$6230,0))))</f>
        <v/>
      </c>
      <c r="U1605" s="241"/>
      <c r="V1605" s="275" t="e">
        <f>IF(C1605="",NA(),MATCH($B1605&amp;$C1605,'Smelter Look-up'!$J:$J,0))</f>
        <v>#N/A</v>
      </c>
      <c r="W1605" s="276"/>
      <c r="X1605" s="276">
        <f t="shared" ca="1" si="229"/>
        <v>0</v>
      </c>
      <c r="Y1605" s="276"/>
      <c r="Z1605" s="276"/>
      <c r="AB1605" s="278" t="str">
        <f t="shared" si="230"/>
        <v/>
      </c>
    </row>
    <row r="1606" spans="1:28" s="277" customFormat="1" ht="20.25">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28"/>
        <v/>
      </c>
      <c r="T1606" s="225" t="str">
        <f ca="1">IF(B1606="","",IF(ISERROR(MATCH($J1606,SorP!$B$1:$B$6230,0)),"",INDIRECT("'SorP'!$A$"&amp;MATCH($J1606,SorP!$B$1:$B$6230,0))))</f>
        <v/>
      </c>
      <c r="U1606" s="241"/>
      <c r="V1606" s="275" t="e">
        <f>IF(C1606="",NA(),MATCH($B1606&amp;$C1606,'Smelter Look-up'!$J:$J,0))</f>
        <v>#N/A</v>
      </c>
      <c r="W1606" s="276"/>
      <c r="X1606" s="276">
        <f t="shared" ca="1" si="229"/>
        <v>0</v>
      </c>
      <c r="Y1606" s="276"/>
      <c r="Z1606" s="276"/>
      <c r="AB1606" s="278" t="str">
        <f t="shared" si="230"/>
        <v/>
      </c>
    </row>
    <row r="1607" spans="1:28" s="277" customFormat="1" ht="20.25">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28"/>
        <v/>
      </c>
      <c r="T1607" s="225" t="str">
        <f ca="1">IF(B1607="","",IF(ISERROR(MATCH($J1607,SorP!$B$1:$B$6230,0)),"",INDIRECT("'SorP'!$A$"&amp;MATCH($J1607,SorP!$B$1:$B$6230,0))))</f>
        <v/>
      </c>
      <c r="U1607" s="241"/>
      <c r="V1607" s="275" t="e">
        <f>IF(C1607="",NA(),MATCH($B1607&amp;$C1607,'Smelter Look-up'!$J:$J,0))</f>
        <v>#N/A</v>
      </c>
      <c r="W1607" s="276"/>
      <c r="X1607" s="276">
        <f t="shared" ca="1" si="229"/>
        <v>0</v>
      </c>
      <c r="Y1607" s="276"/>
      <c r="Z1607" s="276"/>
      <c r="AB1607" s="278" t="str">
        <f t="shared" si="230"/>
        <v/>
      </c>
    </row>
    <row r="1608" spans="1:28" s="277" customFormat="1" ht="20.25">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28"/>
        <v/>
      </c>
      <c r="T1608" s="225" t="str">
        <f ca="1">IF(B1608="","",IF(ISERROR(MATCH($J1608,SorP!$B$1:$B$6230,0)),"",INDIRECT("'SorP'!$A$"&amp;MATCH($J1608,SorP!$B$1:$B$6230,0))))</f>
        <v/>
      </c>
      <c r="U1608" s="241"/>
      <c r="V1608" s="275" t="e">
        <f>IF(C1608="",NA(),MATCH($B1608&amp;$C1608,'Smelter Look-up'!$J:$J,0))</f>
        <v>#N/A</v>
      </c>
      <c r="W1608" s="276"/>
      <c r="X1608" s="276">
        <f t="shared" ca="1" si="229"/>
        <v>0</v>
      </c>
      <c r="Y1608" s="276"/>
      <c r="Z1608" s="276"/>
      <c r="AB1608" s="278" t="str">
        <f t="shared" si="230"/>
        <v/>
      </c>
    </row>
    <row r="1609" spans="1:28" s="277" customFormat="1" ht="20.25">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28"/>
        <v/>
      </c>
      <c r="T1609" s="225" t="str">
        <f ca="1">IF(B1609="","",IF(ISERROR(MATCH($J1609,SorP!$B$1:$B$6230,0)),"",INDIRECT("'SorP'!$A$"&amp;MATCH($J1609,SorP!$B$1:$B$6230,0))))</f>
        <v/>
      </c>
      <c r="U1609" s="241"/>
      <c r="V1609" s="275" t="e">
        <f>IF(C1609="",NA(),MATCH($B1609&amp;$C1609,'Smelter Look-up'!$J:$J,0))</f>
        <v>#N/A</v>
      </c>
      <c r="W1609" s="276"/>
      <c r="X1609" s="276">
        <f t="shared" ca="1" si="229"/>
        <v>0</v>
      </c>
      <c r="Y1609" s="276"/>
      <c r="Z1609" s="276"/>
      <c r="AB1609" s="278" t="str">
        <f t="shared" si="230"/>
        <v/>
      </c>
    </row>
    <row r="1610" spans="1:28" s="277" customFormat="1" ht="20.25">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28"/>
        <v/>
      </c>
      <c r="T1610" s="225" t="str">
        <f ca="1">IF(B1610="","",IF(ISERROR(MATCH($J1610,SorP!$B$1:$B$6230,0)),"",INDIRECT("'SorP'!$A$"&amp;MATCH($J1610,SorP!$B$1:$B$6230,0))))</f>
        <v/>
      </c>
      <c r="U1610" s="241"/>
      <c r="V1610" s="275" t="e">
        <f>IF(C1610="",NA(),MATCH($B1610&amp;$C1610,'Smelter Look-up'!$J:$J,0))</f>
        <v>#N/A</v>
      </c>
      <c r="W1610" s="276"/>
      <c r="X1610" s="276">
        <f t="shared" ca="1" si="229"/>
        <v>0</v>
      </c>
      <c r="Y1610" s="276"/>
      <c r="Z1610" s="276"/>
      <c r="AB1610" s="278" t="str">
        <f t="shared" si="230"/>
        <v/>
      </c>
    </row>
    <row r="1611" spans="1:28" s="277" customFormat="1" ht="20.25">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28"/>
        <v/>
      </c>
      <c r="T1611" s="225" t="str">
        <f ca="1">IF(B1611="","",IF(ISERROR(MATCH($J1611,SorP!$B$1:$B$6230,0)),"",INDIRECT("'SorP'!$A$"&amp;MATCH($J1611,SorP!$B$1:$B$6230,0))))</f>
        <v/>
      </c>
      <c r="U1611" s="241"/>
      <c r="V1611" s="275" t="e">
        <f>IF(C1611="",NA(),MATCH($B1611&amp;$C1611,'Smelter Look-up'!$J:$J,0))</f>
        <v>#N/A</v>
      </c>
      <c r="W1611" s="276"/>
      <c r="X1611" s="276">
        <f t="shared" ca="1" si="229"/>
        <v>0</v>
      </c>
      <c r="Y1611" s="276"/>
      <c r="Z1611" s="276"/>
      <c r="AB1611" s="278" t="str">
        <f t="shared" si="230"/>
        <v/>
      </c>
    </row>
    <row r="1612" spans="1:28" s="277" customFormat="1" ht="20.25">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28"/>
        <v/>
      </c>
      <c r="T1612" s="225" t="str">
        <f ca="1">IF(B1612="","",IF(ISERROR(MATCH($J1612,SorP!$B$1:$B$6230,0)),"",INDIRECT("'SorP'!$A$"&amp;MATCH($J1612,SorP!$B$1:$B$6230,0))))</f>
        <v/>
      </c>
      <c r="U1612" s="241"/>
      <c r="V1612" s="275" t="e">
        <f>IF(C1612="",NA(),MATCH($B1612&amp;$C1612,'Smelter Look-up'!$J:$J,0))</f>
        <v>#N/A</v>
      </c>
      <c r="W1612" s="276"/>
      <c r="X1612" s="276">
        <f t="shared" ca="1" si="229"/>
        <v>0</v>
      </c>
      <c r="Y1612" s="276"/>
      <c r="Z1612" s="276"/>
      <c r="AB1612" s="278" t="str">
        <f t="shared" si="230"/>
        <v/>
      </c>
    </row>
    <row r="1613" spans="1:28" s="277" customFormat="1" ht="20.25">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28"/>
        <v/>
      </c>
      <c r="T1613" s="225" t="str">
        <f ca="1">IF(B1613="","",IF(ISERROR(MATCH($J1613,SorP!$B$1:$B$6230,0)),"",INDIRECT("'SorP'!$A$"&amp;MATCH($J1613,SorP!$B$1:$B$6230,0))))</f>
        <v/>
      </c>
      <c r="U1613" s="241"/>
      <c r="V1613" s="275" t="e">
        <f>IF(C1613="",NA(),MATCH($B1613&amp;$C1613,'Smelter Look-up'!$J:$J,0))</f>
        <v>#N/A</v>
      </c>
      <c r="W1613" s="276"/>
      <c r="X1613" s="276">
        <f t="shared" ca="1" si="229"/>
        <v>0</v>
      </c>
      <c r="Y1613" s="276"/>
      <c r="Z1613" s="276"/>
      <c r="AB1613" s="278" t="str">
        <f t="shared" si="230"/>
        <v/>
      </c>
    </row>
    <row r="1614" spans="1:28" s="277" customFormat="1" ht="20.25">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28"/>
        <v/>
      </c>
      <c r="T1614" s="225" t="str">
        <f ca="1">IF(B1614="","",IF(ISERROR(MATCH($J1614,SorP!$B$1:$B$6230,0)),"",INDIRECT("'SorP'!$A$"&amp;MATCH($J1614,SorP!$B$1:$B$6230,0))))</f>
        <v/>
      </c>
      <c r="U1614" s="241"/>
      <c r="V1614" s="275" t="e">
        <f>IF(C1614="",NA(),MATCH($B1614&amp;$C1614,'Smelter Look-up'!$J:$J,0))</f>
        <v>#N/A</v>
      </c>
      <c r="W1614" s="276"/>
      <c r="X1614" s="276">
        <f t="shared" ca="1" si="229"/>
        <v>0</v>
      </c>
      <c r="Y1614" s="276"/>
      <c r="Z1614" s="276"/>
      <c r="AB1614" s="278" t="str">
        <f t="shared" si="230"/>
        <v/>
      </c>
    </row>
    <row r="1615" spans="1:28" s="277" customFormat="1" ht="20.25">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28"/>
        <v/>
      </c>
      <c r="T1615" s="225" t="str">
        <f ca="1">IF(B1615="","",IF(ISERROR(MATCH($J1615,SorP!$B$1:$B$6230,0)),"",INDIRECT("'SorP'!$A$"&amp;MATCH($J1615,SorP!$B$1:$B$6230,0))))</f>
        <v/>
      </c>
      <c r="U1615" s="241"/>
      <c r="V1615" s="275" t="e">
        <f>IF(C1615="",NA(),MATCH($B1615&amp;$C1615,'Smelter Look-up'!$J:$J,0))</f>
        <v>#N/A</v>
      </c>
      <c r="W1615" s="276"/>
      <c r="X1615" s="276">
        <f t="shared" ca="1" si="229"/>
        <v>0</v>
      </c>
      <c r="Y1615" s="276"/>
      <c r="Z1615" s="276"/>
      <c r="AB1615" s="278" t="str">
        <f t="shared" si="230"/>
        <v/>
      </c>
    </row>
    <row r="1616" spans="1:28" s="277" customFormat="1" ht="20.25">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228"/>
        <v/>
      </c>
      <c r="T1616" s="225" t="str">
        <f ca="1">IF(B1616="","",IF(ISERROR(MATCH($J1616,SorP!$B$1:$B$6230,0)),"",INDIRECT("'SorP'!$A$"&amp;MATCH($J1616,SorP!$B$1:$B$6230,0))))</f>
        <v/>
      </c>
      <c r="U1616" s="241"/>
      <c r="V1616" s="275" t="e">
        <f>IF(C1616="",NA(),MATCH($B1616&amp;$C1616,'Smelter Look-up'!$J:$J,0))</f>
        <v>#N/A</v>
      </c>
      <c r="W1616" s="276"/>
      <c r="X1616" s="276">
        <f t="shared" ca="1" si="229"/>
        <v>0</v>
      </c>
      <c r="Y1616" s="276"/>
      <c r="Z1616" s="276"/>
      <c r="AB1616" s="278" t="str">
        <f t="shared" si="230"/>
        <v/>
      </c>
    </row>
    <row r="1617" spans="1:28" s="277" customFormat="1" ht="20.25">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28"/>
        <v/>
      </c>
      <c r="T1617" s="225" t="str">
        <f ca="1">IF(B1617="","",IF(ISERROR(MATCH($J1617,SorP!$B$1:$B$6230,0)),"",INDIRECT("'SorP'!$A$"&amp;MATCH($J1617,SorP!$B$1:$B$6230,0))))</f>
        <v/>
      </c>
      <c r="U1617" s="241"/>
      <c r="V1617" s="275" t="e">
        <f>IF(C1617="",NA(),MATCH($B1617&amp;$C1617,'Smelter Look-up'!$J:$J,0))</f>
        <v>#N/A</v>
      </c>
      <c r="W1617" s="276"/>
      <c r="X1617" s="276">
        <f t="shared" ca="1" si="229"/>
        <v>0</v>
      </c>
      <c r="Y1617" s="276"/>
      <c r="Z1617" s="276"/>
      <c r="AB1617" s="278" t="str">
        <f t="shared" si="230"/>
        <v/>
      </c>
    </row>
    <row r="1618" spans="1:28" s="277" customFormat="1" ht="20.25">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228"/>
        <v/>
      </c>
      <c r="T1618" s="225" t="str">
        <f ca="1">IF(B1618="","",IF(ISERROR(MATCH($J1618,SorP!$B$1:$B$6230,0)),"",INDIRECT("'SorP'!$A$"&amp;MATCH($J1618,SorP!$B$1:$B$6230,0))))</f>
        <v/>
      </c>
      <c r="U1618" s="241"/>
      <c r="V1618" s="275" t="e">
        <f>IF(C1618="",NA(),MATCH($B1618&amp;$C1618,'Smelter Look-up'!$J:$J,0))</f>
        <v>#N/A</v>
      </c>
      <c r="W1618" s="276"/>
      <c r="X1618" s="276">
        <f t="shared" ca="1" si="229"/>
        <v>0</v>
      </c>
      <c r="Y1618" s="276"/>
      <c r="Z1618" s="276"/>
      <c r="AB1618" s="278" t="str">
        <f t="shared" si="230"/>
        <v/>
      </c>
    </row>
    <row r="1619" spans="1:28" s="277" customFormat="1" ht="20.25">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28"/>
        <v/>
      </c>
      <c r="T1619" s="225" t="str">
        <f ca="1">IF(B1619="","",IF(ISERROR(MATCH($J1619,SorP!$B$1:$B$6230,0)),"",INDIRECT("'SorP'!$A$"&amp;MATCH($J1619,SorP!$B$1:$B$6230,0))))</f>
        <v/>
      </c>
      <c r="U1619" s="241"/>
      <c r="V1619" s="275" t="e">
        <f>IF(C1619="",NA(),MATCH($B1619&amp;$C1619,'Smelter Look-up'!$J:$J,0))</f>
        <v>#N/A</v>
      </c>
      <c r="W1619" s="276"/>
      <c r="X1619" s="276">
        <f t="shared" ca="1" si="229"/>
        <v>0</v>
      </c>
      <c r="Y1619" s="276"/>
      <c r="Z1619" s="276"/>
      <c r="AB1619" s="278" t="str">
        <f t="shared" si="230"/>
        <v/>
      </c>
    </row>
    <row r="1620" spans="1:28" s="277" customFormat="1" ht="20.25">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28"/>
        <v/>
      </c>
      <c r="T1620" s="225" t="str">
        <f ca="1">IF(B1620="","",IF(ISERROR(MATCH($J1620,SorP!$B$1:$B$6230,0)),"",INDIRECT("'SorP'!$A$"&amp;MATCH($J1620,SorP!$B$1:$B$6230,0))))</f>
        <v/>
      </c>
      <c r="U1620" s="241"/>
      <c r="V1620" s="275" t="e">
        <f>IF(C1620="",NA(),MATCH($B1620&amp;$C1620,'Smelter Look-up'!$J:$J,0))</f>
        <v>#N/A</v>
      </c>
      <c r="W1620" s="276"/>
      <c r="X1620" s="276">
        <f t="shared" ca="1" si="229"/>
        <v>0</v>
      </c>
      <c r="Y1620" s="276"/>
      <c r="Z1620" s="276"/>
      <c r="AB1620" s="278" t="str">
        <f t="shared" si="230"/>
        <v/>
      </c>
    </row>
    <row r="1621" spans="1:28" s="277" customFormat="1" ht="20.25">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28"/>
        <v/>
      </c>
      <c r="T1621" s="225" t="str">
        <f ca="1">IF(B1621="","",IF(ISERROR(MATCH($J1621,SorP!$B$1:$B$6230,0)),"",INDIRECT("'SorP'!$A$"&amp;MATCH($J1621,SorP!$B$1:$B$6230,0))))</f>
        <v/>
      </c>
      <c r="U1621" s="241"/>
      <c r="V1621" s="275" t="e">
        <f>IF(C1621="",NA(),MATCH($B1621&amp;$C1621,'Smelter Look-up'!$J:$J,0))</f>
        <v>#N/A</v>
      </c>
      <c r="W1621" s="276"/>
      <c r="X1621" s="276">
        <f t="shared" ca="1" si="229"/>
        <v>0</v>
      </c>
      <c r="Y1621" s="276"/>
      <c r="Z1621" s="276"/>
      <c r="AB1621" s="278" t="str">
        <f t="shared" si="230"/>
        <v/>
      </c>
    </row>
    <row r="1622" spans="1:28" s="277" customFormat="1" ht="20.25">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28"/>
        <v/>
      </c>
      <c r="T1622" s="225" t="str">
        <f ca="1">IF(B1622="","",IF(ISERROR(MATCH($J1622,SorP!$B$1:$B$6230,0)),"",INDIRECT("'SorP'!$A$"&amp;MATCH($J1622,SorP!$B$1:$B$6230,0))))</f>
        <v/>
      </c>
      <c r="U1622" s="241"/>
      <c r="V1622" s="275" t="e">
        <f>IF(C1622="",NA(),MATCH($B1622&amp;$C1622,'Smelter Look-up'!$J:$J,0))</f>
        <v>#N/A</v>
      </c>
      <c r="W1622" s="276"/>
      <c r="X1622" s="276">
        <f t="shared" ca="1" si="229"/>
        <v>0</v>
      </c>
      <c r="Y1622" s="276"/>
      <c r="Z1622" s="276"/>
      <c r="AB1622" s="278" t="str">
        <f t="shared" si="230"/>
        <v/>
      </c>
    </row>
    <row r="1623" spans="1:28" s="277" customFormat="1" ht="20.25">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28"/>
        <v/>
      </c>
      <c r="T1623" s="225" t="str">
        <f ca="1">IF(B1623="","",IF(ISERROR(MATCH($J1623,SorP!$B$1:$B$6230,0)),"",INDIRECT("'SorP'!$A$"&amp;MATCH($J1623,SorP!$B$1:$B$6230,0))))</f>
        <v/>
      </c>
      <c r="U1623" s="241"/>
      <c r="V1623" s="275" t="e">
        <f>IF(C1623="",NA(),MATCH($B1623&amp;$C1623,'Smelter Look-up'!$J:$J,0))</f>
        <v>#N/A</v>
      </c>
      <c r="W1623" s="276"/>
      <c r="X1623" s="276">
        <f t="shared" ca="1" si="229"/>
        <v>0</v>
      </c>
      <c r="Y1623" s="276"/>
      <c r="Z1623" s="276"/>
      <c r="AB1623" s="278" t="str">
        <f t="shared" si="230"/>
        <v/>
      </c>
    </row>
    <row r="1624" spans="1:28" s="277" customFormat="1" ht="20.25">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28"/>
        <v/>
      </c>
      <c r="T1624" s="225" t="str">
        <f ca="1">IF(B1624="","",IF(ISERROR(MATCH($J1624,SorP!$B$1:$B$6230,0)),"",INDIRECT("'SorP'!$A$"&amp;MATCH($J1624,SorP!$B$1:$B$6230,0))))</f>
        <v/>
      </c>
      <c r="U1624" s="241"/>
      <c r="V1624" s="275" t="e">
        <f>IF(C1624="",NA(),MATCH($B1624&amp;$C1624,'Smelter Look-up'!$J:$J,0))</f>
        <v>#N/A</v>
      </c>
      <c r="W1624" s="276"/>
      <c r="X1624" s="276">
        <f t="shared" ca="1" si="229"/>
        <v>0</v>
      </c>
      <c r="Y1624" s="276"/>
      <c r="Z1624" s="276"/>
      <c r="AB1624" s="278" t="str">
        <f t="shared" si="230"/>
        <v/>
      </c>
    </row>
    <row r="1625" spans="1:28" s="277" customFormat="1" ht="20.25">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28"/>
        <v/>
      </c>
      <c r="T1625" s="225" t="str">
        <f ca="1">IF(B1625="","",IF(ISERROR(MATCH($J1625,SorP!$B$1:$B$6230,0)),"",INDIRECT("'SorP'!$A$"&amp;MATCH($J1625,SorP!$B$1:$B$6230,0))))</f>
        <v/>
      </c>
      <c r="U1625" s="241"/>
      <c r="V1625" s="275" t="e">
        <f>IF(C1625="",NA(),MATCH($B1625&amp;$C1625,'Smelter Look-up'!$J:$J,0))</f>
        <v>#N/A</v>
      </c>
      <c r="W1625" s="276"/>
      <c r="X1625" s="276">
        <f t="shared" ca="1" si="229"/>
        <v>0</v>
      </c>
      <c r="Y1625" s="276"/>
      <c r="Z1625" s="276"/>
      <c r="AB1625" s="278" t="str">
        <f t="shared" si="230"/>
        <v/>
      </c>
    </row>
    <row r="1626" spans="1:28" s="277" customFormat="1" ht="20.25">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28"/>
        <v/>
      </c>
      <c r="T1626" s="225" t="str">
        <f ca="1">IF(B1626="","",IF(ISERROR(MATCH($J1626,SorP!$B$1:$B$6230,0)),"",INDIRECT("'SorP'!$A$"&amp;MATCH($J1626,SorP!$B$1:$B$6230,0))))</f>
        <v/>
      </c>
      <c r="U1626" s="241"/>
      <c r="V1626" s="275" t="e">
        <f>IF(C1626="",NA(),MATCH($B1626&amp;$C1626,'Smelter Look-up'!$J:$J,0))</f>
        <v>#N/A</v>
      </c>
      <c r="W1626" s="276"/>
      <c r="X1626" s="276">
        <f t="shared" ca="1" si="229"/>
        <v>0</v>
      </c>
      <c r="Y1626" s="276"/>
      <c r="Z1626" s="276"/>
      <c r="AB1626" s="278" t="str">
        <f t="shared" si="230"/>
        <v/>
      </c>
    </row>
    <row r="1627" spans="1:28" s="277" customFormat="1" ht="20.25">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228"/>
        <v/>
      </c>
      <c r="T1627" s="225" t="str">
        <f ca="1">IF(B1627="","",IF(ISERROR(MATCH($J1627,SorP!$B$1:$B$6230,0)),"",INDIRECT("'SorP'!$A$"&amp;MATCH($J1627,SorP!$B$1:$B$6230,0))))</f>
        <v/>
      </c>
      <c r="U1627" s="241"/>
      <c r="V1627" s="275" t="e">
        <f>IF(C1627="",NA(),MATCH($B1627&amp;$C1627,'Smelter Look-up'!$J:$J,0))</f>
        <v>#N/A</v>
      </c>
      <c r="W1627" s="276"/>
      <c r="X1627" s="276">
        <f t="shared" ca="1" si="229"/>
        <v>0</v>
      </c>
      <c r="Y1627" s="276"/>
      <c r="Z1627" s="276"/>
      <c r="AB1627" s="278" t="str">
        <f t="shared" si="230"/>
        <v/>
      </c>
    </row>
    <row r="1628" spans="1:28" s="277" customFormat="1" ht="20.25">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ref="S1628:S1658" ca="1" si="231">IF(B1628="","",IF(ISERROR(MATCH($E1628,CL,0)),"Unknown",INDIRECT("'C'!$A$"&amp;MATCH($E1628,CL,0)+1)))</f>
        <v/>
      </c>
      <c r="T1628" s="225" t="str">
        <f ca="1">IF(B1628="","",IF(ISERROR(MATCH($J1628,SorP!$B$1:$B$6230,0)),"",INDIRECT("'SorP'!$A$"&amp;MATCH($J1628,SorP!$B$1:$B$6230,0))))</f>
        <v/>
      </c>
      <c r="U1628" s="241"/>
      <c r="V1628" s="275" t="e">
        <f>IF(C1628="",NA(),MATCH($B1628&amp;$C1628,'Smelter Look-up'!$J:$J,0))</f>
        <v>#N/A</v>
      </c>
      <c r="W1628" s="276"/>
      <c r="X1628" s="276">
        <f t="shared" ref="X1628:X1658" ca="1" si="232">IF(AND(C1628="Smelter not listed",OR(LEN(D1628)=0,LEN(E1628)=0)),1,0)</f>
        <v>0</v>
      </c>
      <c r="Y1628" s="276"/>
      <c r="Z1628" s="276"/>
      <c r="AB1628" s="278" t="str">
        <f t="shared" ref="AB1628:AB1658" si="233">B1628&amp;C1628</f>
        <v/>
      </c>
    </row>
    <row r="1629" spans="1:28" s="277" customFormat="1" ht="20.25">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31"/>
        <v/>
      </c>
      <c r="T1629" s="225" t="str">
        <f ca="1">IF(B1629="","",IF(ISERROR(MATCH($J1629,SorP!$B$1:$B$6230,0)),"",INDIRECT("'SorP'!$A$"&amp;MATCH($J1629,SorP!$B$1:$B$6230,0))))</f>
        <v/>
      </c>
      <c r="U1629" s="241"/>
      <c r="V1629" s="275" t="e">
        <f>IF(C1629="",NA(),MATCH($B1629&amp;$C1629,'Smelter Look-up'!$J:$J,0))</f>
        <v>#N/A</v>
      </c>
      <c r="W1629" s="276"/>
      <c r="X1629" s="276">
        <f t="shared" ca="1" si="232"/>
        <v>0</v>
      </c>
      <c r="Y1629" s="276"/>
      <c r="Z1629" s="276"/>
      <c r="AB1629" s="278" t="str">
        <f t="shared" si="233"/>
        <v/>
      </c>
    </row>
    <row r="1630" spans="1:28" s="277" customFormat="1" ht="20.25">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31"/>
        <v/>
      </c>
      <c r="T1630" s="225" t="str">
        <f ca="1">IF(B1630="","",IF(ISERROR(MATCH($J1630,SorP!$B$1:$B$6230,0)),"",INDIRECT("'SorP'!$A$"&amp;MATCH($J1630,SorP!$B$1:$B$6230,0))))</f>
        <v/>
      </c>
      <c r="U1630" s="241"/>
      <c r="V1630" s="275" t="e">
        <f>IF(C1630="",NA(),MATCH($B1630&amp;$C1630,'Smelter Look-up'!$J:$J,0))</f>
        <v>#N/A</v>
      </c>
      <c r="W1630" s="276"/>
      <c r="X1630" s="276">
        <f t="shared" ca="1" si="232"/>
        <v>0</v>
      </c>
      <c r="Y1630" s="276"/>
      <c r="Z1630" s="276"/>
      <c r="AB1630" s="278" t="str">
        <f t="shared" si="233"/>
        <v/>
      </c>
    </row>
    <row r="1631" spans="1:28" s="277" customFormat="1" ht="20.25">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31"/>
        <v/>
      </c>
      <c r="T1631" s="225" t="str">
        <f ca="1">IF(B1631="","",IF(ISERROR(MATCH($J1631,SorP!$B$1:$B$6230,0)),"",INDIRECT("'SorP'!$A$"&amp;MATCH($J1631,SorP!$B$1:$B$6230,0))))</f>
        <v/>
      </c>
      <c r="U1631" s="241"/>
      <c r="V1631" s="275" t="e">
        <f>IF(C1631="",NA(),MATCH($B1631&amp;$C1631,'Smelter Look-up'!$J:$J,0))</f>
        <v>#N/A</v>
      </c>
      <c r="W1631" s="276"/>
      <c r="X1631" s="276">
        <f t="shared" ca="1" si="232"/>
        <v>0</v>
      </c>
      <c r="Y1631" s="276"/>
      <c r="Z1631" s="276"/>
      <c r="AB1631" s="278" t="str">
        <f t="shared" si="233"/>
        <v/>
      </c>
    </row>
    <row r="1632" spans="1:28" s="277" customFormat="1" ht="20.25">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31"/>
        <v/>
      </c>
      <c r="T1632" s="225" t="str">
        <f ca="1">IF(B1632="","",IF(ISERROR(MATCH($J1632,SorP!$B$1:$B$6230,0)),"",INDIRECT("'SorP'!$A$"&amp;MATCH($J1632,SorP!$B$1:$B$6230,0))))</f>
        <v/>
      </c>
      <c r="U1632" s="241"/>
      <c r="V1632" s="275" t="e">
        <f>IF(C1632="",NA(),MATCH($B1632&amp;$C1632,'Smelter Look-up'!$J:$J,0))</f>
        <v>#N/A</v>
      </c>
      <c r="W1632" s="276"/>
      <c r="X1632" s="276">
        <f t="shared" ca="1" si="232"/>
        <v>0</v>
      </c>
      <c r="Y1632" s="276"/>
      <c r="Z1632" s="276"/>
      <c r="AB1632" s="278" t="str">
        <f t="shared" si="233"/>
        <v/>
      </c>
    </row>
    <row r="1633" spans="1:28" s="277" customFormat="1" ht="20.25">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31"/>
        <v/>
      </c>
      <c r="T1633" s="225" t="str">
        <f ca="1">IF(B1633="","",IF(ISERROR(MATCH($J1633,SorP!$B$1:$B$6230,0)),"",INDIRECT("'SorP'!$A$"&amp;MATCH($J1633,SorP!$B$1:$B$6230,0))))</f>
        <v/>
      </c>
      <c r="U1633" s="241"/>
      <c r="V1633" s="275" t="e">
        <f>IF(C1633="",NA(),MATCH($B1633&amp;$C1633,'Smelter Look-up'!$J:$J,0))</f>
        <v>#N/A</v>
      </c>
      <c r="W1633" s="276"/>
      <c r="X1633" s="276">
        <f t="shared" ca="1" si="232"/>
        <v>0</v>
      </c>
      <c r="Y1633" s="276"/>
      <c r="Z1633" s="276"/>
      <c r="AB1633" s="278" t="str">
        <f t="shared" si="233"/>
        <v/>
      </c>
    </row>
    <row r="1634" spans="1:28" s="277" customFormat="1" ht="20.25">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31"/>
        <v/>
      </c>
      <c r="T1634" s="225" t="str">
        <f ca="1">IF(B1634="","",IF(ISERROR(MATCH($J1634,SorP!$B$1:$B$6230,0)),"",INDIRECT("'SorP'!$A$"&amp;MATCH($J1634,SorP!$B$1:$B$6230,0))))</f>
        <v/>
      </c>
      <c r="U1634" s="241"/>
      <c r="V1634" s="275" t="e">
        <f>IF(C1634="",NA(),MATCH($B1634&amp;$C1634,'Smelter Look-up'!$J:$J,0))</f>
        <v>#N/A</v>
      </c>
      <c r="W1634" s="276"/>
      <c r="X1634" s="276">
        <f t="shared" ca="1" si="232"/>
        <v>0</v>
      </c>
      <c r="Y1634" s="276"/>
      <c r="Z1634" s="276"/>
      <c r="AB1634" s="278" t="str">
        <f t="shared" si="233"/>
        <v/>
      </c>
    </row>
    <row r="1635" spans="1:28" s="277" customFormat="1" ht="20.25">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31"/>
        <v/>
      </c>
      <c r="T1635" s="225" t="str">
        <f ca="1">IF(B1635="","",IF(ISERROR(MATCH($J1635,SorP!$B$1:$B$6230,0)),"",INDIRECT("'SorP'!$A$"&amp;MATCH($J1635,SorP!$B$1:$B$6230,0))))</f>
        <v/>
      </c>
      <c r="U1635" s="241"/>
      <c r="V1635" s="275" t="e">
        <f>IF(C1635="",NA(),MATCH($B1635&amp;$C1635,'Smelter Look-up'!$J:$J,0))</f>
        <v>#N/A</v>
      </c>
      <c r="W1635" s="276"/>
      <c r="X1635" s="276">
        <f t="shared" ca="1" si="232"/>
        <v>0</v>
      </c>
      <c r="Y1635" s="276"/>
      <c r="Z1635" s="276"/>
      <c r="AB1635" s="278" t="str">
        <f t="shared" si="233"/>
        <v/>
      </c>
    </row>
    <row r="1636" spans="1:28" s="277" customFormat="1" ht="20.25">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31"/>
        <v/>
      </c>
      <c r="T1636" s="225" t="str">
        <f ca="1">IF(B1636="","",IF(ISERROR(MATCH($J1636,SorP!$B$1:$B$6230,0)),"",INDIRECT("'SorP'!$A$"&amp;MATCH($J1636,SorP!$B$1:$B$6230,0))))</f>
        <v/>
      </c>
      <c r="U1636" s="241"/>
      <c r="V1636" s="275" t="e">
        <f>IF(C1636="",NA(),MATCH($B1636&amp;$C1636,'Smelter Look-up'!$J:$J,0))</f>
        <v>#N/A</v>
      </c>
      <c r="W1636" s="276"/>
      <c r="X1636" s="276">
        <f t="shared" ca="1" si="232"/>
        <v>0</v>
      </c>
      <c r="Y1636" s="276"/>
      <c r="Z1636" s="276"/>
      <c r="AB1636" s="278" t="str">
        <f t="shared" si="233"/>
        <v/>
      </c>
    </row>
    <row r="1637" spans="1:28" s="277" customFormat="1" ht="20.25">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31"/>
        <v/>
      </c>
      <c r="T1637" s="225" t="str">
        <f ca="1">IF(B1637="","",IF(ISERROR(MATCH($J1637,SorP!$B$1:$B$6230,0)),"",INDIRECT("'SorP'!$A$"&amp;MATCH($J1637,SorP!$B$1:$B$6230,0))))</f>
        <v/>
      </c>
      <c r="U1637" s="241"/>
      <c r="V1637" s="275" t="e">
        <f>IF(C1637="",NA(),MATCH($B1637&amp;$C1637,'Smelter Look-up'!$J:$J,0))</f>
        <v>#N/A</v>
      </c>
      <c r="W1637" s="276"/>
      <c r="X1637" s="276">
        <f t="shared" ca="1" si="232"/>
        <v>0</v>
      </c>
      <c r="Y1637" s="276"/>
      <c r="Z1637" s="276"/>
      <c r="AB1637" s="278" t="str">
        <f t="shared" si="233"/>
        <v/>
      </c>
    </row>
    <row r="1638" spans="1:28" s="277" customFormat="1" ht="20.25">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31"/>
        <v/>
      </c>
      <c r="T1638" s="225" t="str">
        <f ca="1">IF(B1638="","",IF(ISERROR(MATCH($J1638,SorP!$B$1:$B$6230,0)),"",INDIRECT("'SorP'!$A$"&amp;MATCH($J1638,SorP!$B$1:$B$6230,0))))</f>
        <v/>
      </c>
      <c r="U1638" s="241"/>
      <c r="V1638" s="275" t="e">
        <f>IF(C1638="",NA(),MATCH($B1638&amp;$C1638,'Smelter Look-up'!$J:$J,0))</f>
        <v>#N/A</v>
      </c>
      <c r="W1638" s="276"/>
      <c r="X1638" s="276">
        <f t="shared" ca="1" si="232"/>
        <v>0</v>
      </c>
      <c r="Y1638" s="276"/>
      <c r="Z1638" s="276"/>
      <c r="AB1638" s="278" t="str">
        <f t="shared" si="233"/>
        <v/>
      </c>
    </row>
    <row r="1639" spans="1:28" s="277" customFormat="1" ht="20.25">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31"/>
        <v/>
      </c>
      <c r="T1639" s="225" t="str">
        <f ca="1">IF(B1639="","",IF(ISERROR(MATCH($J1639,SorP!$B$1:$B$6230,0)),"",INDIRECT("'SorP'!$A$"&amp;MATCH($J1639,SorP!$B$1:$B$6230,0))))</f>
        <v/>
      </c>
      <c r="U1639" s="241"/>
      <c r="V1639" s="275" t="e">
        <f>IF(C1639="",NA(),MATCH($B1639&amp;$C1639,'Smelter Look-up'!$J:$J,0))</f>
        <v>#N/A</v>
      </c>
      <c r="W1639" s="276"/>
      <c r="X1639" s="276">
        <f t="shared" ca="1" si="232"/>
        <v>0</v>
      </c>
      <c r="Y1639" s="276"/>
      <c r="Z1639" s="276"/>
      <c r="AB1639" s="278" t="str">
        <f t="shared" si="233"/>
        <v/>
      </c>
    </row>
    <row r="1640" spans="1:28" s="277" customFormat="1" ht="20.25">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31"/>
        <v/>
      </c>
      <c r="T1640" s="225" t="str">
        <f ca="1">IF(B1640="","",IF(ISERROR(MATCH($J1640,SorP!$B$1:$B$6230,0)),"",INDIRECT("'SorP'!$A$"&amp;MATCH($J1640,SorP!$B$1:$B$6230,0))))</f>
        <v/>
      </c>
      <c r="U1640" s="241"/>
      <c r="V1640" s="275" t="e">
        <f>IF(C1640="",NA(),MATCH($B1640&amp;$C1640,'Smelter Look-up'!$J:$J,0))</f>
        <v>#N/A</v>
      </c>
      <c r="W1640" s="276"/>
      <c r="X1640" s="276">
        <f t="shared" ca="1" si="232"/>
        <v>0</v>
      </c>
      <c r="Y1640" s="276"/>
      <c r="Z1640" s="276"/>
      <c r="AB1640" s="278" t="str">
        <f t="shared" si="233"/>
        <v/>
      </c>
    </row>
    <row r="1641" spans="1:28" s="277" customFormat="1" ht="20.25">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31"/>
        <v/>
      </c>
      <c r="T1641" s="225" t="str">
        <f ca="1">IF(B1641="","",IF(ISERROR(MATCH($J1641,SorP!$B$1:$B$6230,0)),"",INDIRECT("'SorP'!$A$"&amp;MATCH($J1641,SorP!$B$1:$B$6230,0))))</f>
        <v/>
      </c>
      <c r="U1641" s="241"/>
      <c r="V1641" s="275" t="e">
        <f>IF(C1641="",NA(),MATCH($B1641&amp;$C1641,'Smelter Look-up'!$J:$J,0))</f>
        <v>#N/A</v>
      </c>
      <c r="W1641" s="276"/>
      <c r="X1641" s="276">
        <f t="shared" ca="1" si="232"/>
        <v>0</v>
      </c>
      <c r="Y1641" s="276"/>
      <c r="Z1641" s="276"/>
      <c r="AB1641" s="278" t="str">
        <f t="shared" si="233"/>
        <v/>
      </c>
    </row>
    <row r="1642" spans="1:28" s="277" customFormat="1" ht="20.25">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31"/>
        <v/>
      </c>
      <c r="T1642" s="225" t="str">
        <f ca="1">IF(B1642="","",IF(ISERROR(MATCH($J1642,SorP!$B$1:$B$6230,0)),"",INDIRECT("'SorP'!$A$"&amp;MATCH($J1642,SorP!$B$1:$B$6230,0))))</f>
        <v/>
      </c>
      <c r="U1642" s="241"/>
      <c r="V1642" s="275" t="e">
        <f>IF(C1642="",NA(),MATCH($B1642&amp;$C1642,'Smelter Look-up'!$J:$J,0))</f>
        <v>#N/A</v>
      </c>
      <c r="W1642" s="276"/>
      <c r="X1642" s="276">
        <f t="shared" ca="1" si="232"/>
        <v>0</v>
      </c>
      <c r="Y1642" s="276"/>
      <c r="Z1642" s="276"/>
      <c r="AB1642" s="278" t="str">
        <f t="shared" si="233"/>
        <v/>
      </c>
    </row>
    <row r="1643" spans="1:28" s="277" customFormat="1" ht="20.25">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31"/>
        <v/>
      </c>
      <c r="T1643" s="225" t="str">
        <f ca="1">IF(B1643="","",IF(ISERROR(MATCH($J1643,SorP!$B$1:$B$6230,0)),"",INDIRECT("'SorP'!$A$"&amp;MATCH($J1643,SorP!$B$1:$B$6230,0))))</f>
        <v/>
      </c>
      <c r="U1643" s="241"/>
      <c r="V1643" s="275" t="e">
        <f>IF(C1643="",NA(),MATCH($B1643&amp;$C1643,'Smelter Look-up'!$J:$J,0))</f>
        <v>#N/A</v>
      </c>
      <c r="W1643" s="276"/>
      <c r="X1643" s="276">
        <f t="shared" ca="1" si="232"/>
        <v>0</v>
      </c>
      <c r="Y1643" s="276"/>
      <c r="Z1643" s="276"/>
      <c r="AB1643" s="278" t="str">
        <f t="shared" si="233"/>
        <v/>
      </c>
    </row>
    <row r="1644" spans="1:28" s="277" customFormat="1" ht="20.25">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31"/>
        <v/>
      </c>
      <c r="T1644" s="225" t="str">
        <f ca="1">IF(B1644="","",IF(ISERROR(MATCH($J1644,SorP!$B$1:$B$6230,0)),"",INDIRECT("'SorP'!$A$"&amp;MATCH($J1644,SorP!$B$1:$B$6230,0))))</f>
        <v/>
      </c>
      <c r="U1644" s="241"/>
      <c r="V1644" s="275" t="e">
        <f>IF(C1644="",NA(),MATCH($B1644&amp;$C1644,'Smelter Look-up'!$J:$J,0))</f>
        <v>#N/A</v>
      </c>
      <c r="W1644" s="276"/>
      <c r="X1644" s="276">
        <f t="shared" ca="1" si="232"/>
        <v>0</v>
      </c>
      <c r="Y1644" s="276"/>
      <c r="Z1644" s="276"/>
      <c r="AB1644" s="278" t="str">
        <f t="shared" si="233"/>
        <v/>
      </c>
    </row>
    <row r="1645" spans="1:28" s="277" customFormat="1" ht="20.25">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31"/>
        <v/>
      </c>
      <c r="T1645" s="225" t="str">
        <f ca="1">IF(B1645="","",IF(ISERROR(MATCH($J1645,SorP!$B$1:$B$6230,0)),"",INDIRECT("'SorP'!$A$"&amp;MATCH($J1645,SorP!$B$1:$B$6230,0))))</f>
        <v/>
      </c>
      <c r="U1645" s="241"/>
      <c r="V1645" s="275" t="e">
        <f>IF(C1645="",NA(),MATCH($B1645&amp;$C1645,'Smelter Look-up'!$J:$J,0))</f>
        <v>#N/A</v>
      </c>
      <c r="W1645" s="276"/>
      <c r="X1645" s="276">
        <f t="shared" ca="1" si="232"/>
        <v>0</v>
      </c>
      <c r="Y1645" s="276"/>
      <c r="Z1645" s="276"/>
      <c r="AB1645" s="278" t="str">
        <f t="shared" si="233"/>
        <v/>
      </c>
    </row>
    <row r="1646" spans="1:28" s="277" customFormat="1" ht="20.25">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31"/>
        <v/>
      </c>
      <c r="T1646" s="225" t="str">
        <f ca="1">IF(B1646="","",IF(ISERROR(MATCH($J1646,SorP!$B$1:$B$6230,0)),"",INDIRECT("'SorP'!$A$"&amp;MATCH($J1646,SorP!$B$1:$B$6230,0))))</f>
        <v/>
      </c>
      <c r="U1646" s="241"/>
      <c r="V1646" s="275" t="e">
        <f>IF(C1646="",NA(),MATCH($B1646&amp;$C1646,'Smelter Look-up'!$J:$J,0))</f>
        <v>#N/A</v>
      </c>
      <c r="W1646" s="276"/>
      <c r="X1646" s="276">
        <f t="shared" ca="1" si="232"/>
        <v>0</v>
      </c>
      <c r="Y1646" s="276"/>
      <c r="Z1646" s="276"/>
      <c r="AB1646" s="278" t="str">
        <f t="shared" si="233"/>
        <v/>
      </c>
    </row>
    <row r="1647" spans="1:28" s="277" customFormat="1" ht="20.25">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231"/>
        <v/>
      </c>
      <c r="T1647" s="225" t="str">
        <f ca="1">IF(B1647="","",IF(ISERROR(MATCH($J1647,SorP!$B$1:$B$6230,0)),"",INDIRECT("'SorP'!$A$"&amp;MATCH($J1647,SorP!$B$1:$B$6230,0))))</f>
        <v/>
      </c>
      <c r="U1647" s="241"/>
      <c r="V1647" s="275" t="e">
        <f>IF(C1647="",NA(),MATCH($B1647&amp;$C1647,'Smelter Look-up'!$J:$J,0))</f>
        <v>#N/A</v>
      </c>
      <c r="W1647" s="276"/>
      <c r="X1647" s="276">
        <f t="shared" ca="1" si="232"/>
        <v>0</v>
      </c>
      <c r="Y1647" s="276"/>
      <c r="Z1647" s="276"/>
      <c r="AB1647" s="278" t="str">
        <f t="shared" si="233"/>
        <v/>
      </c>
    </row>
    <row r="1648" spans="1:28" s="277" customFormat="1" ht="20.25">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231"/>
        <v/>
      </c>
      <c r="T1648" s="225" t="str">
        <f ca="1">IF(B1648="","",IF(ISERROR(MATCH($J1648,SorP!$B$1:$B$6230,0)),"",INDIRECT("'SorP'!$A$"&amp;MATCH($J1648,SorP!$B$1:$B$6230,0))))</f>
        <v/>
      </c>
      <c r="U1648" s="241"/>
      <c r="V1648" s="275" t="e">
        <f>IF(C1648="",NA(),MATCH($B1648&amp;$C1648,'Smelter Look-up'!$J:$J,0))</f>
        <v>#N/A</v>
      </c>
      <c r="W1648" s="276"/>
      <c r="X1648" s="276">
        <f t="shared" ca="1" si="232"/>
        <v>0</v>
      </c>
      <c r="Y1648" s="276"/>
      <c r="Z1648" s="276"/>
      <c r="AB1648" s="278" t="str">
        <f t="shared" si="233"/>
        <v/>
      </c>
    </row>
    <row r="1649" spans="1:28" s="277" customFormat="1" ht="20.25">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231"/>
        <v/>
      </c>
      <c r="T1649" s="225" t="str">
        <f ca="1">IF(B1649="","",IF(ISERROR(MATCH($J1649,SorP!$B$1:$B$6230,0)),"",INDIRECT("'SorP'!$A$"&amp;MATCH($J1649,SorP!$B$1:$B$6230,0))))</f>
        <v/>
      </c>
      <c r="U1649" s="241"/>
      <c r="V1649" s="275" t="e">
        <f>IF(C1649="",NA(),MATCH($B1649&amp;$C1649,'Smelter Look-up'!$J:$J,0))</f>
        <v>#N/A</v>
      </c>
      <c r="W1649" s="276"/>
      <c r="X1649" s="276">
        <f t="shared" ca="1" si="232"/>
        <v>0</v>
      </c>
      <c r="Y1649" s="276"/>
      <c r="Z1649" s="276"/>
      <c r="AB1649" s="278" t="str">
        <f t="shared" si="233"/>
        <v/>
      </c>
    </row>
    <row r="1650" spans="1:28" s="277" customFormat="1" ht="20.25">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231"/>
        <v/>
      </c>
      <c r="T1650" s="225" t="str">
        <f ca="1">IF(B1650="","",IF(ISERROR(MATCH($J1650,SorP!$B$1:$B$6230,0)),"",INDIRECT("'SorP'!$A$"&amp;MATCH($J1650,SorP!$B$1:$B$6230,0))))</f>
        <v/>
      </c>
      <c r="U1650" s="241"/>
      <c r="V1650" s="275" t="e">
        <f>IF(C1650="",NA(),MATCH($B1650&amp;$C1650,'Smelter Look-up'!$J:$J,0))</f>
        <v>#N/A</v>
      </c>
      <c r="W1650" s="276"/>
      <c r="X1650" s="276">
        <f t="shared" ca="1" si="232"/>
        <v>0</v>
      </c>
      <c r="Y1650" s="276"/>
      <c r="Z1650" s="276"/>
      <c r="AB1650" s="278" t="str">
        <f t="shared" si="233"/>
        <v/>
      </c>
    </row>
    <row r="1651" spans="1:28" s="277" customFormat="1" ht="20.25">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31"/>
        <v/>
      </c>
      <c r="T1651" s="225" t="str">
        <f ca="1">IF(B1651="","",IF(ISERROR(MATCH($J1651,SorP!$B$1:$B$6230,0)),"",INDIRECT("'SorP'!$A$"&amp;MATCH($J1651,SorP!$B$1:$B$6230,0))))</f>
        <v/>
      </c>
      <c r="U1651" s="241"/>
      <c r="V1651" s="275" t="e">
        <f>IF(C1651="",NA(),MATCH($B1651&amp;$C1651,'Smelter Look-up'!$J:$J,0))</f>
        <v>#N/A</v>
      </c>
      <c r="W1651" s="276"/>
      <c r="X1651" s="276">
        <f t="shared" ca="1" si="232"/>
        <v>0</v>
      </c>
      <c r="Y1651" s="276"/>
      <c r="Z1651" s="276"/>
      <c r="AB1651" s="278" t="str">
        <f t="shared" si="233"/>
        <v/>
      </c>
    </row>
    <row r="1652" spans="1:28" s="277" customFormat="1" ht="20.25">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31"/>
        <v/>
      </c>
      <c r="T1652" s="225" t="str">
        <f ca="1">IF(B1652="","",IF(ISERROR(MATCH($J1652,SorP!$B$1:$B$6230,0)),"",INDIRECT("'SorP'!$A$"&amp;MATCH($J1652,SorP!$B$1:$B$6230,0))))</f>
        <v/>
      </c>
      <c r="U1652" s="241"/>
      <c r="V1652" s="275" t="e">
        <f>IF(C1652="",NA(),MATCH($B1652&amp;$C1652,'Smelter Look-up'!$J:$J,0))</f>
        <v>#N/A</v>
      </c>
      <c r="W1652" s="276"/>
      <c r="X1652" s="276">
        <f t="shared" ca="1" si="232"/>
        <v>0</v>
      </c>
      <c r="Y1652" s="276"/>
      <c r="Z1652" s="276"/>
      <c r="AB1652" s="278" t="str">
        <f t="shared" si="233"/>
        <v/>
      </c>
    </row>
    <row r="1653" spans="1:28" s="277" customFormat="1" ht="20.25">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31"/>
        <v/>
      </c>
      <c r="T1653" s="225" t="str">
        <f ca="1">IF(B1653="","",IF(ISERROR(MATCH($J1653,SorP!$B$1:$B$6230,0)),"",INDIRECT("'SorP'!$A$"&amp;MATCH($J1653,SorP!$B$1:$B$6230,0))))</f>
        <v/>
      </c>
      <c r="U1653" s="241"/>
      <c r="V1653" s="275" t="e">
        <f>IF(C1653="",NA(),MATCH($B1653&amp;$C1653,'Smelter Look-up'!$J:$J,0))</f>
        <v>#N/A</v>
      </c>
      <c r="W1653" s="276"/>
      <c r="X1653" s="276">
        <f t="shared" ca="1" si="232"/>
        <v>0</v>
      </c>
      <c r="Y1653" s="276"/>
      <c r="Z1653" s="276"/>
      <c r="AB1653" s="278" t="str">
        <f t="shared" si="233"/>
        <v/>
      </c>
    </row>
    <row r="1654" spans="1:28" s="277" customFormat="1" ht="20.25">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31"/>
        <v/>
      </c>
      <c r="T1654" s="225" t="str">
        <f ca="1">IF(B1654="","",IF(ISERROR(MATCH($J1654,SorP!$B$1:$B$6230,0)),"",INDIRECT("'SorP'!$A$"&amp;MATCH($J1654,SorP!$B$1:$B$6230,0))))</f>
        <v/>
      </c>
      <c r="U1654" s="241"/>
      <c r="V1654" s="275" t="e">
        <f>IF(C1654="",NA(),MATCH($B1654&amp;$C1654,'Smelter Look-up'!$J:$J,0))</f>
        <v>#N/A</v>
      </c>
      <c r="W1654" s="276"/>
      <c r="X1654" s="276">
        <f t="shared" ca="1" si="232"/>
        <v>0</v>
      </c>
      <c r="Y1654" s="276"/>
      <c r="Z1654" s="276"/>
      <c r="AB1654" s="278" t="str">
        <f t="shared" si="233"/>
        <v/>
      </c>
    </row>
    <row r="1655" spans="1:28" s="277" customFormat="1" ht="20.25">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31"/>
        <v/>
      </c>
      <c r="T1655" s="225" t="str">
        <f ca="1">IF(B1655="","",IF(ISERROR(MATCH($J1655,SorP!$B$1:$B$6230,0)),"",INDIRECT("'SorP'!$A$"&amp;MATCH($J1655,SorP!$B$1:$B$6230,0))))</f>
        <v/>
      </c>
      <c r="U1655" s="241"/>
      <c r="V1655" s="275" t="e">
        <f>IF(C1655="",NA(),MATCH($B1655&amp;$C1655,'Smelter Look-up'!$J:$J,0))</f>
        <v>#N/A</v>
      </c>
      <c r="W1655" s="276"/>
      <c r="X1655" s="276">
        <f t="shared" ca="1" si="232"/>
        <v>0</v>
      </c>
      <c r="Y1655" s="276"/>
      <c r="Z1655" s="276"/>
      <c r="AB1655" s="278" t="str">
        <f t="shared" si="233"/>
        <v/>
      </c>
    </row>
    <row r="1656" spans="1:28" s="277" customFormat="1" ht="20.25">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31"/>
        <v/>
      </c>
      <c r="T1656" s="225" t="str">
        <f ca="1">IF(B1656="","",IF(ISERROR(MATCH($J1656,SorP!$B$1:$B$6230,0)),"",INDIRECT("'SorP'!$A$"&amp;MATCH($J1656,SorP!$B$1:$B$6230,0))))</f>
        <v/>
      </c>
      <c r="U1656" s="241"/>
      <c r="V1656" s="275" t="e">
        <f>IF(C1656="",NA(),MATCH($B1656&amp;$C1656,'Smelter Look-up'!$J:$J,0))</f>
        <v>#N/A</v>
      </c>
      <c r="W1656" s="276"/>
      <c r="X1656" s="276">
        <f t="shared" ca="1" si="232"/>
        <v>0</v>
      </c>
      <c r="Y1656" s="276"/>
      <c r="Z1656" s="276"/>
      <c r="AB1656" s="278" t="str">
        <f t="shared" si="233"/>
        <v/>
      </c>
    </row>
    <row r="1657" spans="1:28" s="277" customFormat="1" ht="20.25">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31"/>
        <v/>
      </c>
      <c r="T1657" s="225" t="str">
        <f ca="1">IF(B1657="","",IF(ISERROR(MATCH($J1657,SorP!$B$1:$B$6230,0)),"",INDIRECT("'SorP'!$A$"&amp;MATCH($J1657,SorP!$B$1:$B$6230,0))))</f>
        <v/>
      </c>
      <c r="U1657" s="241"/>
      <c r="V1657" s="275" t="e">
        <f>IF(C1657="",NA(),MATCH($B1657&amp;$C1657,'Smelter Look-up'!$J:$J,0))</f>
        <v>#N/A</v>
      </c>
      <c r="W1657" s="276"/>
      <c r="X1657" s="276">
        <f t="shared" ca="1" si="232"/>
        <v>0</v>
      </c>
      <c r="Y1657" s="276"/>
      <c r="Z1657" s="276"/>
      <c r="AB1657" s="278" t="str">
        <f t="shared" si="233"/>
        <v/>
      </c>
    </row>
    <row r="1658" spans="1:28" s="277" customFormat="1" ht="20.25">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231"/>
        <v/>
      </c>
      <c r="T1658" s="225" t="str">
        <f ca="1">IF(B1658="","",IF(ISERROR(MATCH($J1658,SorP!$B$1:$B$6230,0)),"",INDIRECT("'SorP'!$A$"&amp;MATCH($J1658,SorP!$B$1:$B$6230,0))))</f>
        <v/>
      </c>
      <c r="U1658" s="241"/>
      <c r="V1658" s="275" t="e">
        <f>IF(C1658="",NA(),MATCH($B1658&amp;$C1658,'Smelter Look-up'!$J:$J,0))</f>
        <v>#N/A</v>
      </c>
      <c r="W1658" s="276"/>
      <c r="X1658" s="276">
        <f t="shared" ca="1" si="232"/>
        <v>0</v>
      </c>
      <c r="Y1658" s="276"/>
      <c r="Z1658" s="276"/>
      <c r="AB1658" s="278" t="str">
        <f t="shared" si="233"/>
        <v/>
      </c>
    </row>
    <row r="1659" spans="1:28" s="277" customFormat="1" ht="20.25">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ref="S1659" ca="1" si="234">IF(B1659="","",IF(ISERROR(MATCH($E1659,CL,0)),"Unknown",INDIRECT("'C'!$A$"&amp;MATCH($E1659,CL,0)+1)))</f>
        <v/>
      </c>
      <c r="T1659" s="225" t="str">
        <f ca="1">IF(B1659="","",IF(ISERROR(MATCH($J1659,SorP!$B$1:$B$6230,0)),"",INDIRECT("'SorP'!$A$"&amp;MATCH($J1659,SorP!$B$1:$B$6230,0))))</f>
        <v/>
      </c>
      <c r="U1659" s="241"/>
      <c r="V1659" s="275" t="e">
        <f>IF(C1659="",NA(),MATCH($B1659&amp;$C1659,'Smelter Look-up'!$J:$J,0))</f>
        <v>#N/A</v>
      </c>
      <c r="W1659" s="276"/>
      <c r="X1659" s="276">
        <f t="shared" ref="X1659" ca="1" si="235">IF(AND(C1659="Smelter not listed",OR(LEN(D1659)=0,LEN(E1659)=0)),1,0)</f>
        <v>0</v>
      </c>
      <c r="Y1659" s="276"/>
      <c r="Z1659" s="276"/>
      <c r="AB1659" s="278" t="str">
        <f t="shared" ref="AB1659" si="236">B1659&amp;C1659</f>
        <v/>
      </c>
    </row>
    <row r="1660" spans="1:28" s="277" customFormat="1" ht="20.25">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ref="S1660:S1691" ca="1" si="237">IF(B1660="","",IF(ISERROR(MATCH($E1660,CL,0)),"Unknown",INDIRECT("'C'!$A$"&amp;MATCH($E1660,CL,0)+1)))</f>
        <v/>
      </c>
      <c r="T1660" s="225" t="str">
        <f ca="1">IF(B1660="","",IF(ISERROR(MATCH($J1660,SorP!$B$1:$B$6230,0)),"",INDIRECT("'SorP'!$A$"&amp;MATCH($J1660,SorP!$B$1:$B$6230,0))))</f>
        <v/>
      </c>
      <c r="U1660" s="241"/>
      <c r="V1660" s="275" t="e">
        <f>IF(C1660="",NA(),MATCH($B1660&amp;$C1660,'Smelter Look-up'!$J:$J,0))</f>
        <v>#N/A</v>
      </c>
      <c r="W1660" s="276"/>
      <c r="X1660" s="276">
        <f t="shared" ref="X1660:X1691" ca="1" si="238">IF(AND(C1660="Smelter not listed",OR(LEN(D1660)=0,LEN(E1660)=0)),1,0)</f>
        <v>0</v>
      </c>
      <c r="Y1660" s="276"/>
      <c r="Z1660" s="276"/>
      <c r="AB1660" s="278" t="str">
        <f t="shared" ref="AB1660:AB1691" si="239">B1660&amp;C1660</f>
        <v/>
      </c>
    </row>
    <row r="1661" spans="1:28" s="277" customFormat="1" ht="20.25">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37"/>
        <v/>
      </c>
      <c r="T1661" s="225" t="str">
        <f ca="1">IF(B1661="","",IF(ISERROR(MATCH($J1661,SorP!$B$1:$B$6230,0)),"",INDIRECT("'SorP'!$A$"&amp;MATCH($J1661,SorP!$B$1:$B$6230,0))))</f>
        <v/>
      </c>
      <c r="U1661" s="241"/>
      <c r="V1661" s="275" t="e">
        <f>IF(C1661="",NA(),MATCH($B1661&amp;$C1661,'Smelter Look-up'!$J:$J,0))</f>
        <v>#N/A</v>
      </c>
      <c r="W1661" s="276"/>
      <c r="X1661" s="276">
        <f t="shared" ca="1" si="238"/>
        <v>0</v>
      </c>
      <c r="Y1661" s="276"/>
      <c r="Z1661" s="276"/>
      <c r="AB1661" s="278" t="str">
        <f t="shared" si="239"/>
        <v/>
      </c>
    </row>
    <row r="1662" spans="1:28" s="277" customFormat="1" ht="20.25">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37"/>
        <v/>
      </c>
      <c r="T1662" s="225" t="str">
        <f ca="1">IF(B1662="","",IF(ISERROR(MATCH($J1662,SorP!$B$1:$B$6230,0)),"",INDIRECT("'SorP'!$A$"&amp;MATCH($J1662,SorP!$B$1:$B$6230,0))))</f>
        <v/>
      </c>
      <c r="U1662" s="241"/>
      <c r="V1662" s="275" t="e">
        <f>IF(C1662="",NA(),MATCH($B1662&amp;$C1662,'Smelter Look-up'!$J:$J,0))</f>
        <v>#N/A</v>
      </c>
      <c r="W1662" s="276"/>
      <c r="X1662" s="276">
        <f t="shared" ca="1" si="238"/>
        <v>0</v>
      </c>
      <c r="Y1662" s="276"/>
      <c r="Z1662" s="276"/>
      <c r="AB1662" s="278" t="str">
        <f t="shared" si="239"/>
        <v/>
      </c>
    </row>
    <row r="1663" spans="1:28" s="277" customFormat="1" ht="20.25">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37"/>
        <v/>
      </c>
      <c r="T1663" s="225" t="str">
        <f ca="1">IF(B1663="","",IF(ISERROR(MATCH($J1663,SorP!$B$1:$B$6230,0)),"",INDIRECT("'SorP'!$A$"&amp;MATCH($J1663,SorP!$B$1:$B$6230,0))))</f>
        <v/>
      </c>
      <c r="U1663" s="241"/>
      <c r="V1663" s="275" t="e">
        <f>IF(C1663="",NA(),MATCH($B1663&amp;$C1663,'Smelter Look-up'!$J:$J,0))</f>
        <v>#N/A</v>
      </c>
      <c r="W1663" s="276"/>
      <c r="X1663" s="276">
        <f t="shared" ca="1" si="238"/>
        <v>0</v>
      </c>
      <c r="Y1663" s="276"/>
      <c r="Z1663" s="276"/>
      <c r="AB1663" s="278" t="str">
        <f t="shared" si="239"/>
        <v/>
      </c>
    </row>
    <row r="1664" spans="1:28" s="277" customFormat="1" ht="20.25">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37"/>
        <v/>
      </c>
      <c r="T1664" s="225" t="str">
        <f ca="1">IF(B1664="","",IF(ISERROR(MATCH($J1664,SorP!$B$1:$B$6230,0)),"",INDIRECT("'SorP'!$A$"&amp;MATCH($J1664,SorP!$B$1:$B$6230,0))))</f>
        <v/>
      </c>
      <c r="U1664" s="241"/>
      <c r="V1664" s="275" t="e">
        <f>IF(C1664="",NA(),MATCH($B1664&amp;$C1664,'Smelter Look-up'!$J:$J,0))</f>
        <v>#N/A</v>
      </c>
      <c r="W1664" s="276"/>
      <c r="X1664" s="276">
        <f t="shared" ca="1" si="238"/>
        <v>0</v>
      </c>
      <c r="Y1664" s="276"/>
      <c r="Z1664" s="276"/>
      <c r="AB1664" s="278" t="str">
        <f t="shared" si="239"/>
        <v/>
      </c>
    </row>
    <row r="1665" spans="1:28" s="277" customFormat="1" ht="20.25">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37"/>
        <v/>
      </c>
      <c r="T1665" s="225" t="str">
        <f ca="1">IF(B1665="","",IF(ISERROR(MATCH($J1665,SorP!$B$1:$B$6230,0)),"",INDIRECT("'SorP'!$A$"&amp;MATCH($J1665,SorP!$B$1:$B$6230,0))))</f>
        <v/>
      </c>
      <c r="U1665" s="241"/>
      <c r="V1665" s="275" t="e">
        <f>IF(C1665="",NA(),MATCH($B1665&amp;$C1665,'Smelter Look-up'!$J:$J,0))</f>
        <v>#N/A</v>
      </c>
      <c r="W1665" s="276"/>
      <c r="X1665" s="276">
        <f t="shared" ca="1" si="238"/>
        <v>0</v>
      </c>
      <c r="Y1665" s="276"/>
      <c r="Z1665" s="276"/>
      <c r="AB1665" s="278" t="str">
        <f t="shared" si="239"/>
        <v/>
      </c>
    </row>
    <row r="1666" spans="1:28" s="277" customFormat="1" ht="20.25">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37"/>
        <v/>
      </c>
      <c r="T1666" s="225" t="str">
        <f ca="1">IF(B1666="","",IF(ISERROR(MATCH($J1666,SorP!$B$1:$B$6230,0)),"",INDIRECT("'SorP'!$A$"&amp;MATCH($J1666,SorP!$B$1:$B$6230,0))))</f>
        <v/>
      </c>
      <c r="U1666" s="241"/>
      <c r="V1666" s="275" t="e">
        <f>IF(C1666="",NA(),MATCH($B1666&amp;$C1666,'Smelter Look-up'!$J:$J,0))</f>
        <v>#N/A</v>
      </c>
      <c r="W1666" s="276"/>
      <c r="X1666" s="276">
        <f t="shared" ca="1" si="238"/>
        <v>0</v>
      </c>
      <c r="Y1666" s="276"/>
      <c r="Z1666" s="276"/>
      <c r="AB1666" s="278" t="str">
        <f t="shared" si="239"/>
        <v/>
      </c>
    </row>
    <row r="1667" spans="1:28" s="277" customFormat="1" ht="20.25">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37"/>
        <v/>
      </c>
      <c r="T1667" s="225" t="str">
        <f ca="1">IF(B1667="","",IF(ISERROR(MATCH($J1667,SorP!$B$1:$B$6230,0)),"",INDIRECT("'SorP'!$A$"&amp;MATCH($J1667,SorP!$B$1:$B$6230,0))))</f>
        <v/>
      </c>
      <c r="U1667" s="241"/>
      <c r="V1667" s="275" t="e">
        <f>IF(C1667="",NA(),MATCH($B1667&amp;$C1667,'Smelter Look-up'!$J:$J,0))</f>
        <v>#N/A</v>
      </c>
      <c r="W1667" s="276"/>
      <c r="X1667" s="276">
        <f t="shared" ca="1" si="238"/>
        <v>0</v>
      </c>
      <c r="Y1667" s="276"/>
      <c r="Z1667" s="276"/>
      <c r="AB1667" s="278" t="str">
        <f t="shared" si="239"/>
        <v/>
      </c>
    </row>
    <row r="1668" spans="1:28" s="277" customFormat="1" ht="20.25">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37"/>
        <v/>
      </c>
      <c r="T1668" s="225" t="str">
        <f ca="1">IF(B1668="","",IF(ISERROR(MATCH($J1668,SorP!$B$1:$B$6230,0)),"",INDIRECT("'SorP'!$A$"&amp;MATCH($J1668,SorP!$B$1:$B$6230,0))))</f>
        <v/>
      </c>
      <c r="U1668" s="241"/>
      <c r="V1668" s="275" t="e">
        <f>IF(C1668="",NA(),MATCH($B1668&amp;$C1668,'Smelter Look-up'!$J:$J,0))</f>
        <v>#N/A</v>
      </c>
      <c r="W1668" s="276"/>
      <c r="X1668" s="276">
        <f t="shared" ca="1" si="238"/>
        <v>0</v>
      </c>
      <c r="Y1668" s="276"/>
      <c r="Z1668" s="276"/>
      <c r="AB1668" s="278" t="str">
        <f t="shared" si="239"/>
        <v/>
      </c>
    </row>
    <row r="1669" spans="1:28" s="277" customFormat="1" ht="20.25">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37"/>
        <v/>
      </c>
      <c r="T1669" s="225" t="str">
        <f ca="1">IF(B1669="","",IF(ISERROR(MATCH($J1669,SorP!$B$1:$B$6230,0)),"",INDIRECT("'SorP'!$A$"&amp;MATCH($J1669,SorP!$B$1:$B$6230,0))))</f>
        <v/>
      </c>
      <c r="U1669" s="241"/>
      <c r="V1669" s="275" t="e">
        <f>IF(C1669="",NA(),MATCH($B1669&amp;$C1669,'Smelter Look-up'!$J:$J,0))</f>
        <v>#N/A</v>
      </c>
      <c r="W1669" s="276"/>
      <c r="X1669" s="276">
        <f t="shared" ca="1" si="238"/>
        <v>0</v>
      </c>
      <c r="Y1669" s="276"/>
      <c r="Z1669" s="276"/>
      <c r="AB1669" s="278" t="str">
        <f t="shared" si="239"/>
        <v/>
      </c>
    </row>
    <row r="1670" spans="1:28" s="277" customFormat="1" ht="20.25">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37"/>
        <v/>
      </c>
      <c r="T1670" s="225" t="str">
        <f ca="1">IF(B1670="","",IF(ISERROR(MATCH($J1670,SorP!$B$1:$B$6230,0)),"",INDIRECT("'SorP'!$A$"&amp;MATCH($J1670,SorP!$B$1:$B$6230,0))))</f>
        <v/>
      </c>
      <c r="U1670" s="241"/>
      <c r="V1670" s="275" t="e">
        <f>IF(C1670="",NA(),MATCH($B1670&amp;$C1670,'Smelter Look-up'!$J:$J,0))</f>
        <v>#N/A</v>
      </c>
      <c r="W1670" s="276"/>
      <c r="X1670" s="276">
        <f t="shared" ca="1" si="238"/>
        <v>0</v>
      </c>
      <c r="Y1670" s="276"/>
      <c r="Z1670" s="276"/>
      <c r="AB1670" s="278" t="str">
        <f t="shared" si="239"/>
        <v/>
      </c>
    </row>
    <row r="1671" spans="1:28" s="277" customFormat="1" ht="20.25">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37"/>
        <v/>
      </c>
      <c r="T1671" s="225" t="str">
        <f ca="1">IF(B1671="","",IF(ISERROR(MATCH($J1671,SorP!$B$1:$B$6230,0)),"",INDIRECT("'SorP'!$A$"&amp;MATCH($J1671,SorP!$B$1:$B$6230,0))))</f>
        <v/>
      </c>
      <c r="U1671" s="241"/>
      <c r="V1671" s="275" t="e">
        <f>IF(C1671="",NA(),MATCH($B1671&amp;$C1671,'Smelter Look-up'!$J:$J,0))</f>
        <v>#N/A</v>
      </c>
      <c r="W1671" s="276"/>
      <c r="X1671" s="276">
        <f t="shared" ca="1" si="238"/>
        <v>0</v>
      </c>
      <c r="Y1671" s="276"/>
      <c r="Z1671" s="276"/>
      <c r="AB1671" s="278" t="str">
        <f t="shared" si="239"/>
        <v/>
      </c>
    </row>
    <row r="1672" spans="1:28" s="277" customFormat="1" ht="20.25">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37"/>
        <v/>
      </c>
      <c r="T1672" s="225" t="str">
        <f ca="1">IF(B1672="","",IF(ISERROR(MATCH($J1672,SorP!$B$1:$B$6230,0)),"",INDIRECT("'SorP'!$A$"&amp;MATCH($J1672,SorP!$B$1:$B$6230,0))))</f>
        <v/>
      </c>
      <c r="U1672" s="241"/>
      <c r="V1672" s="275" t="e">
        <f>IF(C1672="",NA(),MATCH($B1672&amp;$C1672,'Smelter Look-up'!$J:$J,0))</f>
        <v>#N/A</v>
      </c>
      <c r="W1672" s="276"/>
      <c r="X1672" s="276">
        <f t="shared" ca="1" si="238"/>
        <v>0</v>
      </c>
      <c r="Y1672" s="276"/>
      <c r="Z1672" s="276"/>
      <c r="AB1672" s="278" t="str">
        <f t="shared" si="239"/>
        <v/>
      </c>
    </row>
    <row r="1673" spans="1:28" s="277" customFormat="1" ht="20.25">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37"/>
        <v/>
      </c>
      <c r="T1673" s="225" t="str">
        <f ca="1">IF(B1673="","",IF(ISERROR(MATCH($J1673,SorP!$B$1:$B$6230,0)),"",INDIRECT("'SorP'!$A$"&amp;MATCH($J1673,SorP!$B$1:$B$6230,0))))</f>
        <v/>
      </c>
      <c r="U1673" s="241"/>
      <c r="V1673" s="275" t="e">
        <f>IF(C1673="",NA(),MATCH($B1673&amp;$C1673,'Smelter Look-up'!$J:$J,0))</f>
        <v>#N/A</v>
      </c>
      <c r="W1673" s="276"/>
      <c r="X1673" s="276">
        <f t="shared" ca="1" si="238"/>
        <v>0</v>
      </c>
      <c r="Y1673" s="276"/>
      <c r="Z1673" s="276"/>
      <c r="AB1673" s="278" t="str">
        <f t="shared" si="239"/>
        <v/>
      </c>
    </row>
    <row r="1674" spans="1:28" s="277" customFormat="1" ht="20.25">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37"/>
        <v/>
      </c>
      <c r="T1674" s="225" t="str">
        <f ca="1">IF(B1674="","",IF(ISERROR(MATCH($J1674,SorP!$B$1:$B$6230,0)),"",INDIRECT("'SorP'!$A$"&amp;MATCH($J1674,SorP!$B$1:$B$6230,0))))</f>
        <v/>
      </c>
      <c r="U1674" s="241"/>
      <c r="V1674" s="275" t="e">
        <f>IF(C1674="",NA(),MATCH($B1674&amp;$C1674,'Smelter Look-up'!$J:$J,0))</f>
        <v>#N/A</v>
      </c>
      <c r="W1674" s="276"/>
      <c r="X1674" s="276">
        <f t="shared" ca="1" si="238"/>
        <v>0</v>
      </c>
      <c r="Y1674" s="276"/>
      <c r="Z1674" s="276"/>
      <c r="AB1674" s="278" t="str">
        <f t="shared" si="239"/>
        <v/>
      </c>
    </row>
    <row r="1675" spans="1:28" s="277" customFormat="1" ht="20.25">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37"/>
        <v/>
      </c>
      <c r="T1675" s="225" t="str">
        <f ca="1">IF(B1675="","",IF(ISERROR(MATCH($J1675,SorP!$B$1:$B$6230,0)),"",INDIRECT("'SorP'!$A$"&amp;MATCH($J1675,SorP!$B$1:$B$6230,0))))</f>
        <v/>
      </c>
      <c r="U1675" s="241"/>
      <c r="V1675" s="275" t="e">
        <f>IF(C1675="",NA(),MATCH($B1675&amp;$C1675,'Smelter Look-up'!$J:$J,0))</f>
        <v>#N/A</v>
      </c>
      <c r="W1675" s="276"/>
      <c r="X1675" s="276">
        <f t="shared" ca="1" si="238"/>
        <v>0</v>
      </c>
      <c r="Y1675" s="276"/>
      <c r="Z1675" s="276"/>
      <c r="AB1675" s="278" t="str">
        <f t="shared" si="239"/>
        <v/>
      </c>
    </row>
    <row r="1676" spans="1:28" s="277" customFormat="1" ht="20.25">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37"/>
        <v/>
      </c>
      <c r="T1676" s="225" t="str">
        <f ca="1">IF(B1676="","",IF(ISERROR(MATCH($J1676,SorP!$B$1:$B$6230,0)),"",INDIRECT("'SorP'!$A$"&amp;MATCH($J1676,SorP!$B$1:$B$6230,0))))</f>
        <v/>
      </c>
      <c r="U1676" s="241"/>
      <c r="V1676" s="275" t="e">
        <f>IF(C1676="",NA(),MATCH($B1676&amp;$C1676,'Smelter Look-up'!$J:$J,0))</f>
        <v>#N/A</v>
      </c>
      <c r="W1676" s="276"/>
      <c r="X1676" s="276">
        <f t="shared" ca="1" si="238"/>
        <v>0</v>
      </c>
      <c r="Y1676" s="276"/>
      <c r="Z1676" s="276"/>
      <c r="AB1676" s="278" t="str">
        <f t="shared" si="239"/>
        <v/>
      </c>
    </row>
    <row r="1677" spans="1:28" s="277" customFormat="1" ht="20.25">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37"/>
        <v/>
      </c>
      <c r="T1677" s="225" t="str">
        <f ca="1">IF(B1677="","",IF(ISERROR(MATCH($J1677,SorP!$B$1:$B$6230,0)),"",INDIRECT("'SorP'!$A$"&amp;MATCH($J1677,SorP!$B$1:$B$6230,0))))</f>
        <v/>
      </c>
      <c r="U1677" s="241"/>
      <c r="V1677" s="275" t="e">
        <f>IF(C1677="",NA(),MATCH($B1677&amp;$C1677,'Smelter Look-up'!$J:$J,0))</f>
        <v>#N/A</v>
      </c>
      <c r="W1677" s="276"/>
      <c r="X1677" s="276">
        <f t="shared" ca="1" si="238"/>
        <v>0</v>
      </c>
      <c r="Y1677" s="276"/>
      <c r="Z1677" s="276"/>
      <c r="AB1677" s="278" t="str">
        <f t="shared" si="239"/>
        <v/>
      </c>
    </row>
    <row r="1678" spans="1:28" s="277" customFormat="1" ht="20.25">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37"/>
        <v/>
      </c>
      <c r="T1678" s="225" t="str">
        <f ca="1">IF(B1678="","",IF(ISERROR(MATCH($J1678,SorP!$B$1:$B$6230,0)),"",INDIRECT("'SorP'!$A$"&amp;MATCH($J1678,SorP!$B$1:$B$6230,0))))</f>
        <v/>
      </c>
      <c r="U1678" s="241"/>
      <c r="V1678" s="275" t="e">
        <f>IF(C1678="",NA(),MATCH($B1678&amp;$C1678,'Smelter Look-up'!$J:$J,0))</f>
        <v>#N/A</v>
      </c>
      <c r="W1678" s="276"/>
      <c r="X1678" s="276">
        <f t="shared" ca="1" si="238"/>
        <v>0</v>
      </c>
      <c r="Y1678" s="276"/>
      <c r="Z1678" s="276"/>
      <c r="AB1678" s="278" t="str">
        <f t="shared" si="239"/>
        <v/>
      </c>
    </row>
    <row r="1679" spans="1:28" s="277" customFormat="1" ht="20.25">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37"/>
        <v/>
      </c>
      <c r="T1679" s="225" t="str">
        <f ca="1">IF(B1679="","",IF(ISERROR(MATCH($J1679,SorP!$B$1:$B$6230,0)),"",INDIRECT("'SorP'!$A$"&amp;MATCH($J1679,SorP!$B$1:$B$6230,0))))</f>
        <v/>
      </c>
      <c r="U1679" s="241"/>
      <c r="V1679" s="275" t="e">
        <f>IF(C1679="",NA(),MATCH($B1679&amp;$C1679,'Smelter Look-up'!$J:$J,0))</f>
        <v>#N/A</v>
      </c>
      <c r="W1679" s="276"/>
      <c r="X1679" s="276">
        <f t="shared" ca="1" si="238"/>
        <v>0</v>
      </c>
      <c r="Y1679" s="276"/>
      <c r="Z1679" s="276"/>
      <c r="AB1679" s="278" t="str">
        <f t="shared" si="239"/>
        <v/>
      </c>
    </row>
    <row r="1680" spans="1:28" s="277" customFormat="1" ht="20.25">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237"/>
        <v/>
      </c>
      <c r="T1680" s="225" t="str">
        <f ca="1">IF(B1680="","",IF(ISERROR(MATCH($J1680,SorP!$B$1:$B$6230,0)),"",INDIRECT("'SorP'!$A$"&amp;MATCH($J1680,SorP!$B$1:$B$6230,0))))</f>
        <v/>
      </c>
      <c r="U1680" s="241"/>
      <c r="V1680" s="275" t="e">
        <f>IF(C1680="",NA(),MATCH($B1680&amp;$C1680,'Smelter Look-up'!$J:$J,0))</f>
        <v>#N/A</v>
      </c>
      <c r="W1680" s="276"/>
      <c r="X1680" s="276">
        <f t="shared" ca="1" si="238"/>
        <v>0</v>
      </c>
      <c r="Y1680" s="276"/>
      <c r="Z1680" s="276"/>
      <c r="AB1680" s="278" t="str">
        <f t="shared" si="239"/>
        <v/>
      </c>
    </row>
    <row r="1681" spans="1:28" s="277" customFormat="1" ht="20.25">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37"/>
        <v/>
      </c>
      <c r="T1681" s="225" t="str">
        <f ca="1">IF(B1681="","",IF(ISERROR(MATCH($J1681,SorP!$B$1:$B$6230,0)),"",INDIRECT("'SorP'!$A$"&amp;MATCH($J1681,SorP!$B$1:$B$6230,0))))</f>
        <v/>
      </c>
      <c r="U1681" s="241"/>
      <c r="V1681" s="275" t="e">
        <f>IF(C1681="",NA(),MATCH($B1681&amp;$C1681,'Smelter Look-up'!$J:$J,0))</f>
        <v>#N/A</v>
      </c>
      <c r="W1681" s="276"/>
      <c r="X1681" s="276">
        <f t="shared" ca="1" si="238"/>
        <v>0</v>
      </c>
      <c r="Y1681" s="276"/>
      <c r="Z1681" s="276"/>
      <c r="AB1681" s="278" t="str">
        <f t="shared" si="239"/>
        <v/>
      </c>
    </row>
    <row r="1682" spans="1:28" s="277" customFormat="1" ht="20.25">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237"/>
        <v/>
      </c>
      <c r="T1682" s="225" t="str">
        <f ca="1">IF(B1682="","",IF(ISERROR(MATCH($J1682,SorP!$B$1:$B$6230,0)),"",INDIRECT("'SorP'!$A$"&amp;MATCH($J1682,SorP!$B$1:$B$6230,0))))</f>
        <v/>
      </c>
      <c r="U1682" s="241"/>
      <c r="V1682" s="275" t="e">
        <f>IF(C1682="",NA(),MATCH($B1682&amp;$C1682,'Smelter Look-up'!$J:$J,0))</f>
        <v>#N/A</v>
      </c>
      <c r="W1682" s="276"/>
      <c r="X1682" s="276">
        <f t="shared" ca="1" si="238"/>
        <v>0</v>
      </c>
      <c r="Y1682" s="276"/>
      <c r="Z1682" s="276"/>
      <c r="AB1682" s="278" t="str">
        <f t="shared" si="239"/>
        <v/>
      </c>
    </row>
    <row r="1683" spans="1:28" s="277" customFormat="1" ht="20.25">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37"/>
        <v/>
      </c>
      <c r="T1683" s="225" t="str">
        <f ca="1">IF(B1683="","",IF(ISERROR(MATCH($J1683,SorP!$B$1:$B$6230,0)),"",INDIRECT("'SorP'!$A$"&amp;MATCH($J1683,SorP!$B$1:$B$6230,0))))</f>
        <v/>
      </c>
      <c r="U1683" s="241"/>
      <c r="V1683" s="275" t="e">
        <f>IF(C1683="",NA(),MATCH($B1683&amp;$C1683,'Smelter Look-up'!$J:$J,0))</f>
        <v>#N/A</v>
      </c>
      <c r="W1683" s="276"/>
      <c r="X1683" s="276">
        <f t="shared" ca="1" si="238"/>
        <v>0</v>
      </c>
      <c r="Y1683" s="276"/>
      <c r="Z1683" s="276"/>
      <c r="AB1683" s="278" t="str">
        <f t="shared" si="239"/>
        <v/>
      </c>
    </row>
    <row r="1684" spans="1:28" s="277" customFormat="1" ht="20.25">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37"/>
        <v/>
      </c>
      <c r="T1684" s="225" t="str">
        <f ca="1">IF(B1684="","",IF(ISERROR(MATCH($J1684,SorP!$B$1:$B$6230,0)),"",INDIRECT("'SorP'!$A$"&amp;MATCH($J1684,SorP!$B$1:$B$6230,0))))</f>
        <v/>
      </c>
      <c r="U1684" s="241"/>
      <c r="V1684" s="275" t="e">
        <f>IF(C1684="",NA(),MATCH($B1684&amp;$C1684,'Smelter Look-up'!$J:$J,0))</f>
        <v>#N/A</v>
      </c>
      <c r="W1684" s="276"/>
      <c r="X1684" s="276">
        <f t="shared" ca="1" si="238"/>
        <v>0</v>
      </c>
      <c r="Y1684" s="276"/>
      <c r="Z1684" s="276"/>
      <c r="AB1684" s="278" t="str">
        <f t="shared" si="239"/>
        <v/>
      </c>
    </row>
    <row r="1685" spans="1:28" s="277" customFormat="1" ht="20.25">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37"/>
        <v/>
      </c>
      <c r="T1685" s="225" t="str">
        <f ca="1">IF(B1685="","",IF(ISERROR(MATCH($J1685,SorP!$B$1:$B$6230,0)),"",INDIRECT("'SorP'!$A$"&amp;MATCH($J1685,SorP!$B$1:$B$6230,0))))</f>
        <v/>
      </c>
      <c r="U1685" s="241"/>
      <c r="V1685" s="275" t="e">
        <f>IF(C1685="",NA(),MATCH($B1685&amp;$C1685,'Smelter Look-up'!$J:$J,0))</f>
        <v>#N/A</v>
      </c>
      <c r="W1685" s="276"/>
      <c r="X1685" s="276">
        <f t="shared" ca="1" si="238"/>
        <v>0</v>
      </c>
      <c r="Y1685" s="276"/>
      <c r="Z1685" s="276"/>
      <c r="AB1685" s="278" t="str">
        <f t="shared" si="239"/>
        <v/>
      </c>
    </row>
    <row r="1686" spans="1:28" s="277" customFormat="1" ht="20.25">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37"/>
        <v/>
      </c>
      <c r="T1686" s="225" t="str">
        <f ca="1">IF(B1686="","",IF(ISERROR(MATCH($J1686,SorP!$B$1:$B$6230,0)),"",INDIRECT("'SorP'!$A$"&amp;MATCH($J1686,SorP!$B$1:$B$6230,0))))</f>
        <v/>
      </c>
      <c r="U1686" s="241"/>
      <c r="V1686" s="275" t="e">
        <f>IF(C1686="",NA(),MATCH($B1686&amp;$C1686,'Smelter Look-up'!$J:$J,0))</f>
        <v>#N/A</v>
      </c>
      <c r="W1686" s="276"/>
      <c r="X1686" s="276">
        <f t="shared" ca="1" si="238"/>
        <v>0</v>
      </c>
      <c r="Y1686" s="276"/>
      <c r="Z1686" s="276"/>
      <c r="AB1686" s="278" t="str">
        <f t="shared" si="239"/>
        <v/>
      </c>
    </row>
    <row r="1687" spans="1:28" s="277" customFormat="1" ht="20.25">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37"/>
        <v/>
      </c>
      <c r="T1687" s="225" t="str">
        <f ca="1">IF(B1687="","",IF(ISERROR(MATCH($J1687,SorP!$B$1:$B$6230,0)),"",INDIRECT("'SorP'!$A$"&amp;MATCH($J1687,SorP!$B$1:$B$6230,0))))</f>
        <v/>
      </c>
      <c r="U1687" s="241"/>
      <c r="V1687" s="275" t="e">
        <f>IF(C1687="",NA(),MATCH($B1687&amp;$C1687,'Smelter Look-up'!$J:$J,0))</f>
        <v>#N/A</v>
      </c>
      <c r="W1687" s="276"/>
      <c r="X1687" s="276">
        <f t="shared" ca="1" si="238"/>
        <v>0</v>
      </c>
      <c r="Y1687" s="276"/>
      <c r="Z1687" s="276"/>
      <c r="AB1687" s="278" t="str">
        <f t="shared" si="239"/>
        <v/>
      </c>
    </row>
    <row r="1688" spans="1:28" s="277" customFormat="1" ht="20.25">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37"/>
        <v/>
      </c>
      <c r="T1688" s="225" t="str">
        <f ca="1">IF(B1688="","",IF(ISERROR(MATCH($J1688,SorP!$B$1:$B$6230,0)),"",INDIRECT("'SorP'!$A$"&amp;MATCH($J1688,SorP!$B$1:$B$6230,0))))</f>
        <v/>
      </c>
      <c r="U1688" s="241"/>
      <c r="V1688" s="275" t="e">
        <f>IF(C1688="",NA(),MATCH($B1688&amp;$C1688,'Smelter Look-up'!$J:$J,0))</f>
        <v>#N/A</v>
      </c>
      <c r="W1688" s="276"/>
      <c r="X1688" s="276">
        <f t="shared" ca="1" si="238"/>
        <v>0</v>
      </c>
      <c r="Y1688" s="276"/>
      <c r="Z1688" s="276"/>
      <c r="AB1688" s="278" t="str">
        <f t="shared" si="239"/>
        <v/>
      </c>
    </row>
    <row r="1689" spans="1:28" s="277" customFormat="1" ht="20.25">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37"/>
        <v/>
      </c>
      <c r="T1689" s="225" t="str">
        <f ca="1">IF(B1689="","",IF(ISERROR(MATCH($J1689,SorP!$B$1:$B$6230,0)),"",INDIRECT("'SorP'!$A$"&amp;MATCH($J1689,SorP!$B$1:$B$6230,0))))</f>
        <v/>
      </c>
      <c r="U1689" s="241"/>
      <c r="V1689" s="275" t="e">
        <f>IF(C1689="",NA(),MATCH($B1689&amp;$C1689,'Smelter Look-up'!$J:$J,0))</f>
        <v>#N/A</v>
      </c>
      <c r="W1689" s="276"/>
      <c r="X1689" s="276">
        <f t="shared" ca="1" si="238"/>
        <v>0</v>
      </c>
      <c r="Y1689" s="276"/>
      <c r="Z1689" s="276"/>
      <c r="AB1689" s="278" t="str">
        <f t="shared" si="239"/>
        <v/>
      </c>
    </row>
    <row r="1690" spans="1:28" s="277" customFormat="1" ht="20.25">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37"/>
        <v/>
      </c>
      <c r="T1690" s="225" t="str">
        <f ca="1">IF(B1690="","",IF(ISERROR(MATCH($J1690,SorP!$B$1:$B$6230,0)),"",INDIRECT("'SorP'!$A$"&amp;MATCH($J1690,SorP!$B$1:$B$6230,0))))</f>
        <v/>
      </c>
      <c r="U1690" s="241"/>
      <c r="V1690" s="275" t="e">
        <f>IF(C1690="",NA(),MATCH($B1690&amp;$C1690,'Smelter Look-up'!$J:$J,0))</f>
        <v>#N/A</v>
      </c>
      <c r="W1690" s="276"/>
      <c r="X1690" s="276">
        <f t="shared" ca="1" si="238"/>
        <v>0</v>
      </c>
      <c r="Y1690" s="276"/>
      <c r="Z1690" s="276"/>
      <c r="AB1690" s="278" t="str">
        <f t="shared" si="239"/>
        <v/>
      </c>
    </row>
    <row r="1691" spans="1:28" s="277" customFormat="1" ht="20.25">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237"/>
        <v/>
      </c>
      <c r="T1691" s="225" t="str">
        <f ca="1">IF(B1691="","",IF(ISERROR(MATCH($J1691,SorP!$B$1:$B$6230,0)),"",INDIRECT("'SorP'!$A$"&amp;MATCH($J1691,SorP!$B$1:$B$6230,0))))</f>
        <v/>
      </c>
      <c r="U1691" s="241"/>
      <c r="V1691" s="275" t="e">
        <f>IF(C1691="",NA(),MATCH($B1691&amp;$C1691,'Smelter Look-up'!$J:$J,0))</f>
        <v>#N/A</v>
      </c>
      <c r="W1691" s="276"/>
      <c r="X1691" s="276">
        <f t="shared" ca="1" si="238"/>
        <v>0</v>
      </c>
      <c r="Y1691" s="276"/>
      <c r="Z1691" s="276"/>
      <c r="AB1691" s="278" t="str">
        <f t="shared" si="239"/>
        <v/>
      </c>
    </row>
    <row r="1692" spans="1:28" s="277" customFormat="1" ht="20.25">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ref="S1692:S1722" ca="1" si="240">IF(B1692="","",IF(ISERROR(MATCH($E1692,CL,0)),"Unknown",INDIRECT("'C'!$A$"&amp;MATCH($E1692,CL,0)+1)))</f>
        <v/>
      </c>
      <c r="T1692" s="225" t="str">
        <f ca="1">IF(B1692="","",IF(ISERROR(MATCH($J1692,SorP!$B$1:$B$6230,0)),"",INDIRECT("'SorP'!$A$"&amp;MATCH($J1692,SorP!$B$1:$B$6230,0))))</f>
        <v/>
      </c>
      <c r="U1692" s="241"/>
      <c r="V1692" s="275" t="e">
        <f>IF(C1692="",NA(),MATCH($B1692&amp;$C1692,'Smelter Look-up'!$J:$J,0))</f>
        <v>#N/A</v>
      </c>
      <c r="W1692" s="276"/>
      <c r="X1692" s="276">
        <f t="shared" ref="X1692:X1722" ca="1" si="241">IF(AND(C1692="Smelter not listed",OR(LEN(D1692)=0,LEN(E1692)=0)),1,0)</f>
        <v>0</v>
      </c>
      <c r="Y1692" s="276"/>
      <c r="Z1692" s="276"/>
      <c r="AB1692" s="278" t="str">
        <f t="shared" ref="AB1692:AB1722" si="242">B1692&amp;C1692</f>
        <v/>
      </c>
    </row>
    <row r="1693" spans="1:28" s="277" customFormat="1" ht="20.25">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40"/>
        <v/>
      </c>
      <c r="T1693" s="225" t="str">
        <f ca="1">IF(B1693="","",IF(ISERROR(MATCH($J1693,SorP!$B$1:$B$6230,0)),"",INDIRECT("'SorP'!$A$"&amp;MATCH($J1693,SorP!$B$1:$B$6230,0))))</f>
        <v/>
      </c>
      <c r="U1693" s="241"/>
      <c r="V1693" s="275" t="e">
        <f>IF(C1693="",NA(),MATCH($B1693&amp;$C1693,'Smelter Look-up'!$J:$J,0))</f>
        <v>#N/A</v>
      </c>
      <c r="W1693" s="276"/>
      <c r="X1693" s="276">
        <f t="shared" ca="1" si="241"/>
        <v>0</v>
      </c>
      <c r="Y1693" s="276"/>
      <c r="Z1693" s="276"/>
      <c r="AB1693" s="278" t="str">
        <f t="shared" si="242"/>
        <v/>
      </c>
    </row>
    <row r="1694" spans="1:28" s="277" customFormat="1" ht="20.25">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40"/>
        <v/>
      </c>
      <c r="T1694" s="225" t="str">
        <f ca="1">IF(B1694="","",IF(ISERROR(MATCH($J1694,SorP!$B$1:$B$6230,0)),"",INDIRECT("'SorP'!$A$"&amp;MATCH($J1694,SorP!$B$1:$B$6230,0))))</f>
        <v/>
      </c>
      <c r="U1694" s="241"/>
      <c r="V1694" s="275" t="e">
        <f>IF(C1694="",NA(),MATCH($B1694&amp;$C1694,'Smelter Look-up'!$J:$J,0))</f>
        <v>#N/A</v>
      </c>
      <c r="W1694" s="276"/>
      <c r="X1694" s="276">
        <f t="shared" ca="1" si="241"/>
        <v>0</v>
      </c>
      <c r="Y1694" s="276"/>
      <c r="Z1694" s="276"/>
      <c r="AB1694" s="278" t="str">
        <f t="shared" si="242"/>
        <v/>
      </c>
    </row>
    <row r="1695" spans="1:28" s="277" customFormat="1" ht="20.25">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40"/>
        <v/>
      </c>
      <c r="T1695" s="225" t="str">
        <f ca="1">IF(B1695="","",IF(ISERROR(MATCH($J1695,SorP!$B$1:$B$6230,0)),"",INDIRECT("'SorP'!$A$"&amp;MATCH($J1695,SorP!$B$1:$B$6230,0))))</f>
        <v/>
      </c>
      <c r="U1695" s="241"/>
      <c r="V1695" s="275" t="e">
        <f>IF(C1695="",NA(),MATCH($B1695&amp;$C1695,'Smelter Look-up'!$J:$J,0))</f>
        <v>#N/A</v>
      </c>
      <c r="W1695" s="276"/>
      <c r="X1695" s="276">
        <f t="shared" ca="1" si="241"/>
        <v>0</v>
      </c>
      <c r="Y1695" s="276"/>
      <c r="Z1695" s="276"/>
      <c r="AB1695" s="278" t="str">
        <f t="shared" si="242"/>
        <v/>
      </c>
    </row>
    <row r="1696" spans="1:28" s="277" customFormat="1" ht="20.25">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40"/>
        <v/>
      </c>
      <c r="T1696" s="225" t="str">
        <f ca="1">IF(B1696="","",IF(ISERROR(MATCH($J1696,SorP!$B$1:$B$6230,0)),"",INDIRECT("'SorP'!$A$"&amp;MATCH($J1696,SorP!$B$1:$B$6230,0))))</f>
        <v/>
      </c>
      <c r="U1696" s="241"/>
      <c r="V1696" s="275" t="e">
        <f>IF(C1696="",NA(),MATCH($B1696&amp;$C1696,'Smelter Look-up'!$J:$J,0))</f>
        <v>#N/A</v>
      </c>
      <c r="W1696" s="276"/>
      <c r="X1696" s="276">
        <f t="shared" ca="1" si="241"/>
        <v>0</v>
      </c>
      <c r="Y1696" s="276"/>
      <c r="Z1696" s="276"/>
      <c r="AB1696" s="278" t="str">
        <f t="shared" si="242"/>
        <v/>
      </c>
    </row>
    <row r="1697" spans="1:28" s="277" customFormat="1" ht="20.25">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40"/>
        <v/>
      </c>
      <c r="T1697" s="225" t="str">
        <f ca="1">IF(B1697="","",IF(ISERROR(MATCH($J1697,SorP!$B$1:$B$6230,0)),"",INDIRECT("'SorP'!$A$"&amp;MATCH($J1697,SorP!$B$1:$B$6230,0))))</f>
        <v/>
      </c>
      <c r="U1697" s="241"/>
      <c r="V1697" s="275" t="e">
        <f>IF(C1697="",NA(),MATCH($B1697&amp;$C1697,'Smelter Look-up'!$J:$J,0))</f>
        <v>#N/A</v>
      </c>
      <c r="W1697" s="276"/>
      <c r="X1697" s="276">
        <f t="shared" ca="1" si="241"/>
        <v>0</v>
      </c>
      <c r="Y1697" s="276"/>
      <c r="Z1697" s="276"/>
      <c r="AB1697" s="278" t="str">
        <f t="shared" si="242"/>
        <v/>
      </c>
    </row>
    <row r="1698" spans="1:28" s="277" customFormat="1" ht="20.25">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40"/>
        <v/>
      </c>
      <c r="T1698" s="225" t="str">
        <f ca="1">IF(B1698="","",IF(ISERROR(MATCH($J1698,SorP!$B$1:$B$6230,0)),"",INDIRECT("'SorP'!$A$"&amp;MATCH($J1698,SorP!$B$1:$B$6230,0))))</f>
        <v/>
      </c>
      <c r="U1698" s="241"/>
      <c r="V1698" s="275" t="e">
        <f>IF(C1698="",NA(),MATCH($B1698&amp;$C1698,'Smelter Look-up'!$J:$J,0))</f>
        <v>#N/A</v>
      </c>
      <c r="W1698" s="276"/>
      <c r="X1698" s="276">
        <f t="shared" ca="1" si="241"/>
        <v>0</v>
      </c>
      <c r="Y1698" s="276"/>
      <c r="Z1698" s="276"/>
      <c r="AB1698" s="278" t="str">
        <f t="shared" si="242"/>
        <v/>
      </c>
    </row>
    <row r="1699" spans="1:28" s="277" customFormat="1" ht="20.25">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40"/>
        <v/>
      </c>
      <c r="T1699" s="225" t="str">
        <f ca="1">IF(B1699="","",IF(ISERROR(MATCH($J1699,SorP!$B$1:$B$6230,0)),"",INDIRECT("'SorP'!$A$"&amp;MATCH($J1699,SorP!$B$1:$B$6230,0))))</f>
        <v/>
      </c>
      <c r="U1699" s="241"/>
      <c r="V1699" s="275" t="e">
        <f>IF(C1699="",NA(),MATCH($B1699&amp;$C1699,'Smelter Look-up'!$J:$J,0))</f>
        <v>#N/A</v>
      </c>
      <c r="W1699" s="276"/>
      <c r="X1699" s="276">
        <f t="shared" ca="1" si="241"/>
        <v>0</v>
      </c>
      <c r="Y1699" s="276"/>
      <c r="Z1699" s="276"/>
      <c r="AB1699" s="278" t="str">
        <f t="shared" si="242"/>
        <v/>
      </c>
    </row>
    <row r="1700" spans="1:28" s="277" customFormat="1" ht="20.25">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40"/>
        <v/>
      </c>
      <c r="T1700" s="225" t="str">
        <f ca="1">IF(B1700="","",IF(ISERROR(MATCH($J1700,SorP!$B$1:$B$6230,0)),"",INDIRECT("'SorP'!$A$"&amp;MATCH($J1700,SorP!$B$1:$B$6230,0))))</f>
        <v/>
      </c>
      <c r="U1700" s="241"/>
      <c r="V1700" s="275" t="e">
        <f>IF(C1700="",NA(),MATCH($B1700&amp;$C1700,'Smelter Look-up'!$J:$J,0))</f>
        <v>#N/A</v>
      </c>
      <c r="W1700" s="276"/>
      <c r="X1700" s="276">
        <f t="shared" ca="1" si="241"/>
        <v>0</v>
      </c>
      <c r="Y1700" s="276"/>
      <c r="Z1700" s="276"/>
      <c r="AB1700" s="278" t="str">
        <f t="shared" si="242"/>
        <v/>
      </c>
    </row>
    <row r="1701" spans="1:28" s="277" customFormat="1" ht="20.25">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40"/>
        <v/>
      </c>
      <c r="T1701" s="225" t="str">
        <f ca="1">IF(B1701="","",IF(ISERROR(MATCH($J1701,SorP!$B$1:$B$6230,0)),"",INDIRECT("'SorP'!$A$"&amp;MATCH($J1701,SorP!$B$1:$B$6230,0))))</f>
        <v/>
      </c>
      <c r="U1701" s="241"/>
      <c r="V1701" s="275" t="e">
        <f>IF(C1701="",NA(),MATCH($B1701&amp;$C1701,'Smelter Look-up'!$J:$J,0))</f>
        <v>#N/A</v>
      </c>
      <c r="W1701" s="276"/>
      <c r="X1701" s="276">
        <f t="shared" ca="1" si="241"/>
        <v>0</v>
      </c>
      <c r="Y1701" s="276"/>
      <c r="Z1701" s="276"/>
      <c r="AB1701" s="278" t="str">
        <f t="shared" si="242"/>
        <v/>
      </c>
    </row>
    <row r="1702" spans="1:28" s="277" customFormat="1" ht="20.25">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40"/>
        <v/>
      </c>
      <c r="T1702" s="225" t="str">
        <f ca="1">IF(B1702="","",IF(ISERROR(MATCH($J1702,SorP!$B$1:$B$6230,0)),"",INDIRECT("'SorP'!$A$"&amp;MATCH($J1702,SorP!$B$1:$B$6230,0))))</f>
        <v/>
      </c>
      <c r="U1702" s="241"/>
      <c r="V1702" s="275" t="e">
        <f>IF(C1702="",NA(),MATCH($B1702&amp;$C1702,'Smelter Look-up'!$J:$J,0))</f>
        <v>#N/A</v>
      </c>
      <c r="W1702" s="276"/>
      <c r="X1702" s="276">
        <f t="shared" ca="1" si="241"/>
        <v>0</v>
      </c>
      <c r="Y1702" s="276"/>
      <c r="Z1702" s="276"/>
      <c r="AB1702" s="278" t="str">
        <f t="shared" si="242"/>
        <v/>
      </c>
    </row>
    <row r="1703" spans="1:28" s="277" customFormat="1" ht="20.25">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40"/>
        <v/>
      </c>
      <c r="T1703" s="225" t="str">
        <f ca="1">IF(B1703="","",IF(ISERROR(MATCH($J1703,SorP!$B$1:$B$6230,0)),"",INDIRECT("'SorP'!$A$"&amp;MATCH($J1703,SorP!$B$1:$B$6230,0))))</f>
        <v/>
      </c>
      <c r="U1703" s="241"/>
      <c r="V1703" s="275" t="e">
        <f>IF(C1703="",NA(),MATCH($B1703&amp;$C1703,'Smelter Look-up'!$J:$J,0))</f>
        <v>#N/A</v>
      </c>
      <c r="W1703" s="276"/>
      <c r="X1703" s="276">
        <f t="shared" ca="1" si="241"/>
        <v>0</v>
      </c>
      <c r="Y1703" s="276"/>
      <c r="Z1703" s="276"/>
      <c r="AB1703" s="278" t="str">
        <f t="shared" si="242"/>
        <v/>
      </c>
    </row>
    <row r="1704" spans="1:28" s="277" customFormat="1" ht="20.25">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40"/>
        <v/>
      </c>
      <c r="T1704" s="225" t="str">
        <f ca="1">IF(B1704="","",IF(ISERROR(MATCH($J1704,SorP!$B$1:$B$6230,0)),"",INDIRECT("'SorP'!$A$"&amp;MATCH($J1704,SorP!$B$1:$B$6230,0))))</f>
        <v/>
      </c>
      <c r="U1704" s="241"/>
      <c r="V1704" s="275" t="e">
        <f>IF(C1704="",NA(),MATCH($B1704&amp;$C1704,'Smelter Look-up'!$J:$J,0))</f>
        <v>#N/A</v>
      </c>
      <c r="W1704" s="276"/>
      <c r="X1704" s="276">
        <f t="shared" ca="1" si="241"/>
        <v>0</v>
      </c>
      <c r="Y1704" s="276"/>
      <c r="Z1704" s="276"/>
      <c r="AB1704" s="278" t="str">
        <f t="shared" si="242"/>
        <v/>
      </c>
    </row>
    <row r="1705" spans="1:28" s="277" customFormat="1" ht="20.25">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40"/>
        <v/>
      </c>
      <c r="T1705" s="225" t="str">
        <f ca="1">IF(B1705="","",IF(ISERROR(MATCH($J1705,SorP!$B$1:$B$6230,0)),"",INDIRECT("'SorP'!$A$"&amp;MATCH($J1705,SorP!$B$1:$B$6230,0))))</f>
        <v/>
      </c>
      <c r="U1705" s="241"/>
      <c r="V1705" s="275" t="e">
        <f>IF(C1705="",NA(),MATCH($B1705&amp;$C1705,'Smelter Look-up'!$J:$J,0))</f>
        <v>#N/A</v>
      </c>
      <c r="W1705" s="276"/>
      <c r="X1705" s="276">
        <f t="shared" ca="1" si="241"/>
        <v>0</v>
      </c>
      <c r="Y1705" s="276"/>
      <c r="Z1705" s="276"/>
      <c r="AB1705" s="278" t="str">
        <f t="shared" si="242"/>
        <v/>
      </c>
    </row>
    <row r="1706" spans="1:28" s="277" customFormat="1" ht="20.25">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40"/>
        <v/>
      </c>
      <c r="T1706" s="225" t="str">
        <f ca="1">IF(B1706="","",IF(ISERROR(MATCH($J1706,SorP!$B$1:$B$6230,0)),"",INDIRECT("'SorP'!$A$"&amp;MATCH($J1706,SorP!$B$1:$B$6230,0))))</f>
        <v/>
      </c>
      <c r="U1706" s="241"/>
      <c r="V1706" s="275" t="e">
        <f>IF(C1706="",NA(),MATCH($B1706&amp;$C1706,'Smelter Look-up'!$J:$J,0))</f>
        <v>#N/A</v>
      </c>
      <c r="W1706" s="276"/>
      <c r="X1706" s="276">
        <f t="shared" ca="1" si="241"/>
        <v>0</v>
      </c>
      <c r="Y1706" s="276"/>
      <c r="Z1706" s="276"/>
      <c r="AB1706" s="278" t="str">
        <f t="shared" si="242"/>
        <v/>
      </c>
    </row>
    <row r="1707" spans="1:28" s="277" customFormat="1" ht="20.25">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40"/>
        <v/>
      </c>
      <c r="T1707" s="225" t="str">
        <f ca="1">IF(B1707="","",IF(ISERROR(MATCH($J1707,SorP!$B$1:$B$6230,0)),"",INDIRECT("'SorP'!$A$"&amp;MATCH($J1707,SorP!$B$1:$B$6230,0))))</f>
        <v/>
      </c>
      <c r="U1707" s="241"/>
      <c r="V1707" s="275" t="e">
        <f>IF(C1707="",NA(),MATCH($B1707&amp;$C1707,'Smelter Look-up'!$J:$J,0))</f>
        <v>#N/A</v>
      </c>
      <c r="W1707" s="276"/>
      <c r="X1707" s="276">
        <f t="shared" ca="1" si="241"/>
        <v>0</v>
      </c>
      <c r="Y1707" s="276"/>
      <c r="Z1707" s="276"/>
      <c r="AB1707" s="278" t="str">
        <f t="shared" si="242"/>
        <v/>
      </c>
    </row>
    <row r="1708" spans="1:28" s="277" customFormat="1" ht="20.25">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40"/>
        <v/>
      </c>
      <c r="T1708" s="225" t="str">
        <f ca="1">IF(B1708="","",IF(ISERROR(MATCH($J1708,SorP!$B$1:$B$6230,0)),"",INDIRECT("'SorP'!$A$"&amp;MATCH($J1708,SorP!$B$1:$B$6230,0))))</f>
        <v/>
      </c>
      <c r="U1708" s="241"/>
      <c r="V1708" s="275" t="e">
        <f>IF(C1708="",NA(),MATCH($B1708&amp;$C1708,'Smelter Look-up'!$J:$J,0))</f>
        <v>#N/A</v>
      </c>
      <c r="W1708" s="276"/>
      <c r="X1708" s="276">
        <f t="shared" ca="1" si="241"/>
        <v>0</v>
      </c>
      <c r="Y1708" s="276"/>
      <c r="Z1708" s="276"/>
      <c r="AB1708" s="278" t="str">
        <f t="shared" si="242"/>
        <v/>
      </c>
    </row>
    <row r="1709" spans="1:28" s="277" customFormat="1" ht="20.25">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40"/>
        <v/>
      </c>
      <c r="T1709" s="225" t="str">
        <f ca="1">IF(B1709="","",IF(ISERROR(MATCH($J1709,SorP!$B$1:$B$6230,0)),"",INDIRECT("'SorP'!$A$"&amp;MATCH($J1709,SorP!$B$1:$B$6230,0))))</f>
        <v/>
      </c>
      <c r="U1709" s="241"/>
      <c r="V1709" s="275" t="e">
        <f>IF(C1709="",NA(),MATCH($B1709&amp;$C1709,'Smelter Look-up'!$J:$J,0))</f>
        <v>#N/A</v>
      </c>
      <c r="W1709" s="276"/>
      <c r="X1709" s="276">
        <f t="shared" ca="1" si="241"/>
        <v>0</v>
      </c>
      <c r="Y1709" s="276"/>
      <c r="Z1709" s="276"/>
      <c r="AB1709" s="278" t="str">
        <f t="shared" si="242"/>
        <v/>
      </c>
    </row>
    <row r="1710" spans="1:28" s="277" customFormat="1" ht="20.25">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40"/>
        <v/>
      </c>
      <c r="T1710" s="225" t="str">
        <f ca="1">IF(B1710="","",IF(ISERROR(MATCH($J1710,SorP!$B$1:$B$6230,0)),"",INDIRECT("'SorP'!$A$"&amp;MATCH($J1710,SorP!$B$1:$B$6230,0))))</f>
        <v/>
      </c>
      <c r="U1710" s="241"/>
      <c r="V1710" s="275" t="e">
        <f>IF(C1710="",NA(),MATCH($B1710&amp;$C1710,'Smelter Look-up'!$J:$J,0))</f>
        <v>#N/A</v>
      </c>
      <c r="W1710" s="276"/>
      <c r="X1710" s="276">
        <f t="shared" ca="1" si="241"/>
        <v>0</v>
      </c>
      <c r="Y1710" s="276"/>
      <c r="Z1710" s="276"/>
      <c r="AB1710" s="278" t="str">
        <f t="shared" si="242"/>
        <v/>
      </c>
    </row>
    <row r="1711" spans="1:28" s="277" customFormat="1" ht="20.25">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240"/>
        <v/>
      </c>
      <c r="T1711" s="225" t="str">
        <f ca="1">IF(B1711="","",IF(ISERROR(MATCH($J1711,SorP!$B$1:$B$6230,0)),"",INDIRECT("'SorP'!$A$"&amp;MATCH($J1711,SorP!$B$1:$B$6230,0))))</f>
        <v/>
      </c>
      <c r="U1711" s="241"/>
      <c r="V1711" s="275" t="e">
        <f>IF(C1711="",NA(),MATCH($B1711&amp;$C1711,'Smelter Look-up'!$J:$J,0))</f>
        <v>#N/A</v>
      </c>
      <c r="W1711" s="276"/>
      <c r="X1711" s="276">
        <f t="shared" ca="1" si="241"/>
        <v>0</v>
      </c>
      <c r="Y1711" s="276"/>
      <c r="Z1711" s="276"/>
      <c r="AB1711" s="278" t="str">
        <f t="shared" si="242"/>
        <v/>
      </c>
    </row>
    <row r="1712" spans="1:28" s="277" customFormat="1" ht="20.25">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240"/>
        <v/>
      </c>
      <c r="T1712" s="225" t="str">
        <f ca="1">IF(B1712="","",IF(ISERROR(MATCH($J1712,SorP!$B$1:$B$6230,0)),"",INDIRECT("'SorP'!$A$"&amp;MATCH($J1712,SorP!$B$1:$B$6230,0))))</f>
        <v/>
      </c>
      <c r="U1712" s="241"/>
      <c r="V1712" s="275" t="e">
        <f>IF(C1712="",NA(),MATCH($B1712&amp;$C1712,'Smelter Look-up'!$J:$J,0))</f>
        <v>#N/A</v>
      </c>
      <c r="W1712" s="276"/>
      <c r="X1712" s="276">
        <f t="shared" ca="1" si="241"/>
        <v>0</v>
      </c>
      <c r="Y1712" s="276"/>
      <c r="Z1712" s="276"/>
      <c r="AB1712" s="278" t="str">
        <f t="shared" si="242"/>
        <v/>
      </c>
    </row>
    <row r="1713" spans="1:28" s="277" customFormat="1" ht="20.25">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240"/>
        <v/>
      </c>
      <c r="T1713" s="225" t="str">
        <f ca="1">IF(B1713="","",IF(ISERROR(MATCH($J1713,SorP!$B$1:$B$6230,0)),"",INDIRECT("'SorP'!$A$"&amp;MATCH($J1713,SorP!$B$1:$B$6230,0))))</f>
        <v/>
      </c>
      <c r="U1713" s="241"/>
      <c r="V1713" s="275" t="e">
        <f>IF(C1713="",NA(),MATCH($B1713&amp;$C1713,'Smelter Look-up'!$J:$J,0))</f>
        <v>#N/A</v>
      </c>
      <c r="W1713" s="276"/>
      <c r="X1713" s="276">
        <f t="shared" ca="1" si="241"/>
        <v>0</v>
      </c>
      <c r="Y1713" s="276"/>
      <c r="Z1713" s="276"/>
      <c r="AB1713" s="278" t="str">
        <f t="shared" si="242"/>
        <v/>
      </c>
    </row>
    <row r="1714" spans="1:28" s="277" customFormat="1" ht="20.25">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240"/>
        <v/>
      </c>
      <c r="T1714" s="225" t="str">
        <f ca="1">IF(B1714="","",IF(ISERROR(MATCH($J1714,SorP!$B$1:$B$6230,0)),"",INDIRECT("'SorP'!$A$"&amp;MATCH($J1714,SorP!$B$1:$B$6230,0))))</f>
        <v/>
      </c>
      <c r="U1714" s="241"/>
      <c r="V1714" s="275" t="e">
        <f>IF(C1714="",NA(),MATCH($B1714&amp;$C1714,'Smelter Look-up'!$J:$J,0))</f>
        <v>#N/A</v>
      </c>
      <c r="W1714" s="276"/>
      <c r="X1714" s="276">
        <f t="shared" ca="1" si="241"/>
        <v>0</v>
      </c>
      <c r="Y1714" s="276"/>
      <c r="Z1714" s="276"/>
      <c r="AB1714" s="278" t="str">
        <f t="shared" si="242"/>
        <v/>
      </c>
    </row>
    <row r="1715" spans="1:28" s="277" customFormat="1" ht="20.25">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40"/>
        <v/>
      </c>
      <c r="T1715" s="225" t="str">
        <f ca="1">IF(B1715="","",IF(ISERROR(MATCH($J1715,SorP!$B$1:$B$6230,0)),"",INDIRECT("'SorP'!$A$"&amp;MATCH($J1715,SorP!$B$1:$B$6230,0))))</f>
        <v/>
      </c>
      <c r="U1715" s="241"/>
      <c r="V1715" s="275" t="e">
        <f>IF(C1715="",NA(),MATCH($B1715&amp;$C1715,'Smelter Look-up'!$J:$J,0))</f>
        <v>#N/A</v>
      </c>
      <c r="W1715" s="276"/>
      <c r="X1715" s="276">
        <f t="shared" ca="1" si="241"/>
        <v>0</v>
      </c>
      <c r="Y1715" s="276"/>
      <c r="Z1715" s="276"/>
      <c r="AB1715" s="278" t="str">
        <f t="shared" si="242"/>
        <v/>
      </c>
    </row>
    <row r="1716" spans="1:28" s="277" customFormat="1" ht="20.25">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40"/>
        <v/>
      </c>
      <c r="T1716" s="225" t="str">
        <f ca="1">IF(B1716="","",IF(ISERROR(MATCH($J1716,SorP!$B$1:$B$6230,0)),"",INDIRECT("'SorP'!$A$"&amp;MATCH($J1716,SorP!$B$1:$B$6230,0))))</f>
        <v/>
      </c>
      <c r="U1716" s="241"/>
      <c r="V1716" s="275" t="e">
        <f>IF(C1716="",NA(),MATCH($B1716&amp;$C1716,'Smelter Look-up'!$J:$J,0))</f>
        <v>#N/A</v>
      </c>
      <c r="W1716" s="276"/>
      <c r="X1716" s="276">
        <f t="shared" ca="1" si="241"/>
        <v>0</v>
      </c>
      <c r="Y1716" s="276"/>
      <c r="Z1716" s="276"/>
      <c r="AB1716" s="278" t="str">
        <f t="shared" si="242"/>
        <v/>
      </c>
    </row>
    <row r="1717" spans="1:28" s="277" customFormat="1" ht="20.25">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40"/>
        <v/>
      </c>
      <c r="T1717" s="225" t="str">
        <f ca="1">IF(B1717="","",IF(ISERROR(MATCH($J1717,SorP!$B$1:$B$6230,0)),"",INDIRECT("'SorP'!$A$"&amp;MATCH($J1717,SorP!$B$1:$B$6230,0))))</f>
        <v/>
      </c>
      <c r="U1717" s="241"/>
      <c r="V1717" s="275" t="e">
        <f>IF(C1717="",NA(),MATCH($B1717&amp;$C1717,'Smelter Look-up'!$J:$J,0))</f>
        <v>#N/A</v>
      </c>
      <c r="W1717" s="276"/>
      <c r="X1717" s="276">
        <f t="shared" ca="1" si="241"/>
        <v>0</v>
      </c>
      <c r="Y1717" s="276"/>
      <c r="Z1717" s="276"/>
      <c r="AB1717" s="278" t="str">
        <f t="shared" si="242"/>
        <v/>
      </c>
    </row>
    <row r="1718" spans="1:28" s="277" customFormat="1" ht="20.25">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40"/>
        <v/>
      </c>
      <c r="T1718" s="225" t="str">
        <f ca="1">IF(B1718="","",IF(ISERROR(MATCH($J1718,SorP!$B$1:$B$6230,0)),"",INDIRECT("'SorP'!$A$"&amp;MATCH($J1718,SorP!$B$1:$B$6230,0))))</f>
        <v/>
      </c>
      <c r="U1718" s="241"/>
      <c r="V1718" s="275" t="e">
        <f>IF(C1718="",NA(),MATCH($B1718&amp;$C1718,'Smelter Look-up'!$J:$J,0))</f>
        <v>#N/A</v>
      </c>
      <c r="W1718" s="276"/>
      <c r="X1718" s="276">
        <f t="shared" ca="1" si="241"/>
        <v>0</v>
      </c>
      <c r="Y1718" s="276"/>
      <c r="Z1718" s="276"/>
      <c r="AB1718" s="278" t="str">
        <f t="shared" si="242"/>
        <v/>
      </c>
    </row>
    <row r="1719" spans="1:28" s="277" customFormat="1" ht="20.25">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40"/>
        <v/>
      </c>
      <c r="T1719" s="225" t="str">
        <f ca="1">IF(B1719="","",IF(ISERROR(MATCH($J1719,SorP!$B$1:$B$6230,0)),"",INDIRECT("'SorP'!$A$"&amp;MATCH($J1719,SorP!$B$1:$B$6230,0))))</f>
        <v/>
      </c>
      <c r="U1719" s="241"/>
      <c r="V1719" s="275" t="e">
        <f>IF(C1719="",NA(),MATCH($B1719&amp;$C1719,'Smelter Look-up'!$J:$J,0))</f>
        <v>#N/A</v>
      </c>
      <c r="W1719" s="276"/>
      <c r="X1719" s="276">
        <f t="shared" ca="1" si="241"/>
        <v>0</v>
      </c>
      <c r="Y1719" s="276"/>
      <c r="Z1719" s="276"/>
      <c r="AB1719" s="278" t="str">
        <f t="shared" si="242"/>
        <v/>
      </c>
    </row>
    <row r="1720" spans="1:28" s="277" customFormat="1" ht="20.25">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40"/>
        <v/>
      </c>
      <c r="T1720" s="225" t="str">
        <f ca="1">IF(B1720="","",IF(ISERROR(MATCH($J1720,SorP!$B$1:$B$6230,0)),"",INDIRECT("'SorP'!$A$"&amp;MATCH($J1720,SorP!$B$1:$B$6230,0))))</f>
        <v/>
      </c>
      <c r="U1720" s="241"/>
      <c r="V1720" s="275" t="e">
        <f>IF(C1720="",NA(),MATCH($B1720&amp;$C1720,'Smelter Look-up'!$J:$J,0))</f>
        <v>#N/A</v>
      </c>
      <c r="W1720" s="276"/>
      <c r="X1720" s="276">
        <f t="shared" ca="1" si="241"/>
        <v>0</v>
      </c>
      <c r="Y1720" s="276"/>
      <c r="Z1720" s="276"/>
      <c r="AB1720" s="278" t="str">
        <f t="shared" si="242"/>
        <v/>
      </c>
    </row>
    <row r="1721" spans="1:28" s="277" customFormat="1" ht="20.25">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40"/>
        <v/>
      </c>
      <c r="T1721" s="225" t="str">
        <f ca="1">IF(B1721="","",IF(ISERROR(MATCH($J1721,SorP!$B$1:$B$6230,0)),"",INDIRECT("'SorP'!$A$"&amp;MATCH($J1721,SorP!$B$1:$B$6230,0))))</f>
        <v/>
      </c>
      <c r="U1721" s="241"/>
      <c r="V1721" s="275" t="e">
        <f>IF(C1721="",NA(),MATCH($B1721&amp;$C1721,'Smelter Look-up'!$J:$J,0))</f>
        <v>#N/A</v>
      </c>
      <c r="W1721" s="276"/>
      <c r="X1721" s="276">
        <f t="shared" ca="1" si="241"/>
        <v>0</v>
      </c>
      <c r="Y1721" s="276"/>
      <c r="Z1721" s="276"/>
      <c r="AB1721" s="278" t="str">
        <f t="shared" si="242"/>
        <v/>
      </c>
    </row>
    <row r="1722" spans="1:28" s="277" customFormat="1" ht="20.25">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240"/>
        <v/>
      </c>
      <c r="T1722" s="225" t="str">
        <f ca="1">IF(B1722="","",IF(ISERROR(MATCH($J1722,SorP!$B$1:$B$6230,0)),"",INDIRECT("'SorP'!$A$"&amp;MATCH($J1722,SorP!$B$1:$B$6230,0))))</f>
        <v/>
      </c>
      <c r="U1722" s="241"/>
      <c r="V1722" s="275" t="e">
        <f>IF(C1722="",NA(),MATCH($B1722&amp;$C1722,'Smelter Look-up'!$J:$J,0))</f>
        <v>#N/A</v>
      </c>
      <c r="W1722" s="276"/>
      <c r="X1722" s="276">
        <f t="shared" ca="1" si="241"/>
        <v>0</v>
      </c>
      <c r="Y1722" s="276"/>
      <c r="Z1722" s="276"/>
      <c r="AB1722" s="278" t="str">
        <f t="shared" si="242"/>
        <v/>
      </c>
    </row>
    <row r="1723" spans="1:28" s="277" customFormat="1" ht="20.25">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ref="S1723" ca="1" si="243">IF(B1723="","",IF(ISERROR(MATCH($E1723,CL,0)),"Unknown",INDIRECT("'C'!$A$"&amp;MATCH($E1723,CL,0)+1)))</f>
        <v/>
      </c>
      <c r="T1723" s="225" t="str">
        <f ca="1">IF(B1723="","",IF(ISERROR(MATCH($J1723,SorP!$B$1:$B$6230,0)),"",INDIRECT("'SorP'!$A$"&amp;MATCH($J1723,SorP!$B$1:$B$6230,0))))</f>
        <v/>
      </c>
      <c r="U1723" s="241"/>
      <c r="V1723" s="275" t="e">
        <f>IF(C1723="",NA(),MATCH($B1723&amp;$C1723,'Smelter Look-up'!$J:$J,0))</f>
        <v>#N/A</v>
      </c>
      <c r="W1723" s="276"/>
      <c r="X1723" s="276">
        <f t="shared" ref="X1723" ca="1" si="244">IF(AND(C1723="Smelter not listed",OR(LEN(D1723)=0,LEN(E1723)=0)),1,0)</f>
        <v>0</v>
      </c>
      <c r="Y1723" s="276"/>
      <c r="Z1723" s="276"/>
      <c r="AB1723" s="278" t="str">
        <f t="shared" ref="AB1723" si="245">B1723&amp;C1723</f>
        <v/>
      </c>
    </row>
    <row r="1724" spans="1:28" s="277" customFormat="1" ht="20.25">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ref="S1724:S1755" ca="1" si="246">IF(B1724="","",IF(ISERROR(MATCH($E1724,CL,0)),"Unknown",INDIRECT("'C'!$A$"&amp;MATCH($E1724,CL,0)+1)))</f>
        <v/>
      </c>
      <c r="T1724" s="225" t="str">
        <f ca="1">IF(B1724="","",IF(ISERROR(MATCH($J1724,SorP!$B$1:$B$6230,0)),"",INDIRECT("'SorP'!$A$"&amp;MATCH($J1724,SorP!$B$1:$B$6230,0))))</f>
        <v/>
      </c>
      <c r="U1724" s="241"/>
      <c r="V1724" s="275" t="e">
        <f>IF(C1724="",NA(),MATCH($B1724&amp;$C1724,'Smelter Look-up'!$J:$J,0))</f>
        <v>#N/A</v>
      </c>
      <c r="W1724" s="276"/>
      <c r="X1724" s="276">
        <f t="shared" ref="X1724:X1755" ca="1" si="247">IF(AND(C1724="Smelter not listed",OR(LEN(D1724)=0,LEN(E1724)=0)),1,0)</f>
        <v>0</v>
      </c>
      <c r="Y1724" s="276"/>
      <c r="Z1724" s="276"/>
      <c r="AB1724" s="278" t="str">
        <f t="shared" ref="AB1724:AB1755" si="248">B1724&amp;C1724</f>
        <v/>
      </c>
    </row>
    <row r="1725" spans="1:28" s="277" customFormat="1" ht="20.25">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46"/>
        <v/>
      </c>
      <c r="T1725" s="225" t="str">
        <f ca="1">IF(B1725="","",IF(ISERROR(MATCH($J1725,SorP!$B$1:$B$6230,0)),"",INDIRECT("'SorP'!$A$"&amp;MATCH($J1725,SorP!$B$1:$B$6230,0))))</f>
        <v/>
      </c>
      <c r="U1725" s="241"/>
      <c r="V1725" s="275" t="e">
        <f>IF(C1725="",NA(),MATCH($B1725&amp;$C1725,'Smelter Look-up'!$J:$J,0))</f>
        <v>#N/A</v>
      </c>
      <c r="W1725" s="276"/>
      <c r="X1725" s="276">
        <f t="shared" ca="1" si="247"/>
        <v>0</v>
      </c>
      <c r="Y1725" s="276"/>
      <c r="Z1725" s="276"/>
      <c r="AB1725" s="278" t="str">
        <f t="shared" si="248"/>
        <v/>
      </c>
    </row>
    <row r="1726" spans="1:28" s="277" customFormat="1" ht="20.25">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46"/>
        <v/>
      </c>
      <c r="T1726" s="225" t="str">
        <f ca="1">IF(B1726="","",IF(ISERROR(MATCH($J1726,SorP!$B$1:$B$6230,0)),"",INDIRECT("'SorP'!$A$"&amp;MATCH($J1726,SorP!$B$1:$B$6230,0))))</f>
        <v/>
      </c>
      <c r="U1726" s="241"/>
      <c r="V1726" s="275" t="e">
        <f>IF(C1726="",NA(),MATCH($B1726&amp;$C1726,'Smelter Look-up'!$J:$J,0))</f>
        <v>#N/A</v>
      </c>
      <c r="W1726" s="276"/>
      <c r="X1726" s="276">
        <f t="shared" ca="1" si="247"/>
        <v>0</v>
      </c>
      <c r="Y1726" s="276"/>
      <c r="Z1726" s="276"/>
      <c r="AB1726" s="278" t="str">
        <f t="shared" si="248"/>
        <v/>
      </c>
    </row>
    <row r="1727" spans="1:28" s="277" customFormat="1" ht="20.25">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46"/>
        <v/>
      </c>
      <c r="T1727" s="225" t="str">
        <f ca="1">IF(B1727="","",IF(ISERROR(MATCH($J1727,SorP!$B$1:$B$6230,0)),"",INDIRECT("'SorP'!$A$"&amp;MATCH($J1727,SorP!$B$1:$B$6230,0))))</f>
        <v/>
      </c>
      <c r="U1727" s="241"/>
      <c r="V1727" s="275" t="e">
        <f>IF(C1727="",NA(),MATCH($B1727&amp;$C1727,'Smelter Look-up'!$J:$J,0))</f>
        <v>#N/A</v>
      </c>
      <c r="W1727" s="276"/>
      <c r="X1727" s="276">
        <f t="shared" ca="1" si="247"/>
        <v>0</v>
      </c>
      <c r="Y1727" s="276"/>
      <c r="Z1727" s="276"/>
      <c r="AB1727" s="278" t="str">
        <f t="shared" si="248"/>
        <v/>
      </c>
    </row>
    <row r="1728" spans="1:28" s="277" customFormat="1" ht="20.25">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46"/>
        <v/>
      </c>
      <c r="T1728" s="225" t="str">
        <f ca="1">IF(B1728="","",IF(ISERROR(MATCH($J1728,SorP!$B$1:$B$6230,0)),"",INDIRECT("'SorP'!$A$"&amp;MATCH($J1728,SorP!$B$1:$B$6230,0))))</f>
        <v/>
      </c>
      <c r="U1728" s="241"/>
      <c r="V1728" s="275" t="e">
        <f>IF(C1728="",NA(),MATCH($B1728&amp;$C1728,'Smelter Look-up'!$J:$J,0))</f>
        <v>#N/A</v>
      </c>
      <c r="W1728" s="276"/>
      <c r="X1728" s="276">
        <f t="shared" ca="1" si="247"/>
        <v>0</v>
      </c>
      <c r="Y1728" s="276"/>
      <c r="Z1728" s="276"/>
      <c r="AB1728" s="278" t="str">
        <f t="shared" si="248"/>
        <v/>
      </c>
    </row>
    <row r="1729" spans="1:28" s="277" customFormat="1" ht="20.25">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46"/>
        <v/>
      </c>
      <c r="T1729" s="225" t="str">
        <f ca="1">IF(B1729="","",IF(ISERROR(MATCH($J1729,SorP!$B$1:$B$6230,0)),"",INDIRECT("'SorP'!$A$"&amp;MATCH($J1729,SorP!$B$1:$B$6230,0))))</f>
        <v/>
      </c>
      <c r="U1729" s="241"/>
      <c r="V1729" s="275" t="e">
        <f>IF(C1729="",NA(),MATCH($B1729&amp;$C1729,'Smelter Look-up'!$J:$J,0))</f>
        <v>#N/A</v>
      </c>
      <c r="W1729" s="276"/>
      <c r="X1729" s="276">
        <f t="shared" ca="1" si="247"/>
        <v>0</v>
      </c>
      <c r="Y1729" s="276"/>
      <c r="Z1729" s="276"/>
      <c r="AB1729" s="278" t="str">
        <f t="shared" si="248"/>
        <v/>
      </c>
    </row>
    <row r="1730" spans="1:28" s="277" customFormat="1" ht="20.25">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46"/>
        <v/>
      </c>
      <c r="T1730" s="225" t="str">
        <f ca="1">IF(B1730="","",IF(ISERROR(MATCH($J1730,SorP!$B$1:$B$6230,0)),"",INDIRECT("'SorP'!$A$"&amp;MATCH($J1730,SorP!$B$1:$B$6230,0))))</f>
        <v/>
      </c>
      <c r="U1730" s="241"/>
      <c r="V1730" s="275" t="e">
        <f>IF(C1730="",NA(),MATCH($B1730&amp;$C1730,'Smelter Look-up'!$J:$J,0))</f>
        <v>#N/A</v>
      </c>
      <c r="W1730" s="276"/>
      <c r="X1730" s="276">
        <f t="shared" ca="1" si="247"/>
        <v>0</v>
      </c>
      <c r="Y1730" s="276"/>
      <c r="Z1730" s="276"/>
      <c r="AB1730" s="278" t="str">
        <f t="shared" si="248"/>
        <v/>
      </c>
    </row>
    <row r="1731" spans="1:28" s="277" customFormat="1" ht="20.25">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46"/>
        <v/>
      </c>
      <c r="T1731" s="225" t="str">
        <f ca="1">IF(B1731="","",IF(ISERROR(MATCH($J1731,SorP!$B$1:$B$6230,0)),"",INDIRECT("'SorP'!$A$"&amp;MATCH($J1731,SorP!$B$1:$B$6230,0))))</f>
        <v/>
      </c>
      <c r="U1731" s="241"/>
      <c r="V1731" s="275" t="e">
        <f>IF(C1731="",NA(),MATCH($B1731&amp;$C1731,'Smelter Look-up'!$J:$J,0))</f>
        <v>#N/A</v>
      </c>
      <c r="W1731" s="276"/>
      <c r="X1731" s="276">
        <f t="shared" ca="1" si="247"/>
        <v>0</v>
      </c>
      <c r="Y1731" s="276"/>
      <c r="Z1731" s="276"/>
      <c r="AB1731" s="278" t="str">
        <f t="shared" si="248"/>
        <v/>
      </c>
    </row>
    <row r="1732" spans="1:28" s="277" customFormat="1" ht="20.25">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46"/>
        <v/>
      </c>
      <c r="T1732" s="225" t="str">
        <f ca="1">IF(B1732="","",IF(ISERROR(MATCH($J1732,SorP!$B$1:$B$6230,0)),"",INDIRECT("'SorP'!$A$"&amp;MATCH($J1732,SorP!$B$1:$B$6230,0))))</f>
        <v/>
      </c>
      <c r="U1732" s="241"/>
      <c r="V1732" s="275" t="e">
        <f>IF(C1732="",NA(),MATCH($B1732&amp;$C1732,'Smelter Look-up'!$J:$J,0))</f>
        <v>#N/A</v>
      </c>
      <c r="W1732" s="276"/>
      <c r="X1732" s="276">
        <f t="shared" ca="1" si="247"/>
        <v>0</v>
      </c>
      <c r="Y1732" s="276"/>
      <c r="Z1732" s="276"/>
      <c r="AB1732" s="278" t="str">
        <f t="shared" si="248"/>
        <v/>
      </c>
    </row>
    <row r="1733" spans="1:28" s="277" customFormat="1" ht="20.25">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46"/>
        <v/>
      </c>
      <c r="T1733" s="225" t="str">
        <f ca="1">IF(B1733="","",IF(ISERROR(MATCH($J1733,SorP!$B$1:$B$6230,0)),"",INDIRECT("'SorP'!$A$"&amp;MATCH($J1733,SorP!$B$1:$B$6230,0))))</f>
        <v/>
      </c>
      <c r="U1733" s="241"/>
      <c r="V1733" s="275" t="e">
        <f>IF(C1733="",NA(),MATCH($B1733&amp;$C1733,'Smelter Look-up'!$J:$J,0))</f>
        <v>#N/A</v>
      </c>
      <c r="W1733" s="276"/>
      <c r="X1733" s="276">
        <f t="shared" ca="1" si="247"/>
        <v>0</v>
      </c>
      <c r="Y1733" s="276"/>
      <c r="Z1733" s="276"/>
      <c r="AB1733" s="278" t="str">
        <f t="shared" si="248"/>
        <v/>
      </c>
    </row>
    <row r="1734" spans="1:28" s="277" customFormat="1" ht="20.25">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46"/>
        <v/>
      </c>
      <c r="T1734" s="225" t="str">
        <f ca="1">IF(B1734="","",IF(ISERROR(MATCH($J1734,SorP!$B$1:$B$6230,0)),"",INDIRECT("'SorP'!$A$"&amp;MATCH($J1734,SorP!$B$1:$B$6230,0))))</f>
        <v/>
      </c>
      <c r="U1734" s="241"/>
      <c r="V1734" s="275" t="e">
        <f>IF(C1734="",NA(),MATCH($B1734&amp;$C1734,'Smelter Look-up'!$J:$J,0))</f>
        <v>#N/A</v>
      </c>
      <c r="W1734" s="276"/>
      <c r="X1734" s="276">
        <f t="shared" ca="1" si="247"/>
        <v>0</v>
      </c>
      <c r="Y1734" s="276"/>
      <c r="Z1734" s="276"/>
      <c r="AB1734" s="278" t="str">
        <f t="shared" si="248"/>
        <v/>
      </c>
    </row>
    <row r="1735" spans="1:28" s="277" customFormat="1" ht="20.25">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46"/>
        <v/>
      </c>
      <c r="T1735" s="225" t="str">
        <f ca="1">IF(B1735="","",IF(ISERROR(MATCH($J1735,SorP!$B$1:$B$6230,0)),"",INDIRECT("'SorP'!$A$"&amp;MATCH($J1735,SorP!$B$1:$B$6230,0))))</f>
        <v/>
      </c>
      <c r="U1735" s="241"/>
      <c r="V1735" s="275" t="e">
        <f>IF(C1735="",NA(),MATCH($B1735&amp;$C1735,'Smelter Look-up'!$J:$J,0))</f>
        <v>#N/A</v>
      </c>
      <c r="W1735" s="276"/>
      <c r="X1735" s="276">
        <f t="shared" ca="1" si="247"/>
        <v>0</v>
      </c>
      <c r="Y1735" s="276"/>
      <c r="Z1735" s="276"/>
      <c r="AB1735" s="278" t="str">
        <f t="shared" si="248"/>
        <v/>
      </c>
    </row>
    <row r="1736" spans="1:28" s="277" customFormat="1" ht="20.25">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46"/>
        <v/>
      </c>
      <c r="T1736" s="225" t="str">
        <f ca="1">IF(B1736="","",IF(ISERROR(MATCH($J1736,SorP!$B$1:$B$6230,0)),"",INDIRECT("'SorP'!$A$"&amp;MATCH($J1736,SorP!$B$1:$B$6230,0))))</f>
        <v/>
      </c>
      <c r="U1736" s="241"/>
      <c r="V1736" s="275" t="e">
        <f>IF(C1736="",NA(),MATCH($B1736&amp;$C1736,'Smelter Look-up'!$J:$J,0))</f>
        <v>#N/A</v>
      </c>
      <c r="W1736" s="276"/>
      <c r="X1736" s="276">
        <f t="shared" ca="1" si="247"/>
        <v>0</v>
      </c>
      <c r="Y1736" s="276"/>
      <c r="Z1736" s="276"/>
      <c r="AB1736" s="278" t="str">
        <f t="shared" si="248"/>
        <v/>
      </c>
    </row>
    <row r="1737" spans="1:28" s="277" customFormat="1" ht="20.25">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46"/>
        <v/>
      </c>
      <c r="T1737" s="225" t="str">
        <f ca="1">IF(B1737="","",IF(ISERROR(MATCH($J1737,SorP!$B$1:$B$6230,0)),"",INDIRECT("'SorP'!$A$"&amp;MATCH($J1737,SorP!$B$1:$B$6230,0))))</f>
        <v/>
      </c>
      <c r="U1737" s="241"/>
      <c r="V1737" s="275" t="e">
        <f>IF(C1737="",NA(),MATCH($B1737&amp;$C1737,'Smelter Look-up'!$J:$J,0))</f>
        <v>#N/A</v>
      </c>
      <c r="W1737" s="276"/>
      <c r="X1737" s="276">
        <f t="shared" ca="1" si="247"/>
        <v>0</v>
      </c>
      <c r="Y1737" s="276"/>
      <c r="Z1737" s="276"/>
      <c r="AB1737" s="278" t="str">
        <f t="shared" si="248"/>
        <v/>
      </c>
    </row>
    <row r="1738" spans="1:28" s="277" customFormat="1" ht="20.25">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46"/>
        <v/>
      </c>
      <c r="T1738" s="225" t="str">
        <f ca="1">IF(B1738="","",IF(ISERROR(MATCH($J1738,SorP!$B$1:$B$6230,0)),"",INDIRECT("'SorP'!$A$"&amp;MATCH($J1738,SorP!$B$1:$B$6230,0))))</f>
        <v/>
      </c>
      <c r="U1738" s="241"/>
      <c r="V1738" s="275" t="e">
        <f>IF(C1738="",NA(),MATCH($B1738&amp;$C1738,'Smelter Look-up'!$J:$J,0))</f>
        <v>#N/A</v>
      </c>
      <c r="W1738" s="276"/>
      <c r="X1738" s="276">
        <f t="shared" ca="1" si="247"/>
        <v>0</v>
      </c>
      <c r="Y1738" s="276"/>
      <c r="Z1738" s="276"/>
      <c r="AB1738" s="278" t="str">
        <f t="shared" si="248"/>
        <v/>
      </c>
    </row>
    <row r="1739" spans="1:28" s="277" customFormat="1" ht="20.25">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46"/>
        <v/>
      </c>
      <c r="T1739" s="225" t="str">
        <f ca="1">IF(B1739="","",IF(ISERROR(MATCH($J1739,SorP!$B$1:$B$6230,0)),"",INDIRECT("'SorP'!$A$"&amp;MATCH($J1739,SorP!$B$1:$B$6230,0))))</f>
        <v/>
      </c>
      <c r="U1739" s="241"/>
      <c r="V1739" s="275" t="e">
        <f>IF(C1739="",NA(),MATCH($B1739&amp;$C1739,'Smelter Look-up'!$J:$J,0))</f>
        <v>#N/A</v>
      </c>
      <c r="W1739" s="276"/>
      <c r="X1739" s="276">
        <f t="shared" ca="1" si="247"/>
        <v>0</v>
      </c>
      <c r="Y1739" s="276"/>
      <c r="Z1739" s="276"/>
      <c r="AB1739" s="278" t="str">
        <f t="shared" si="248"/>
        <v/>
      </c>
    </row>
    <row r="1740" spans="1:28" s="277" customFormat="1" ht="20.25">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46"/>
        <v/>
      </c>
      <c r="T1740" s="225" t="str">
        <f ca="1">IF(B1740="","",IF(ISERROR(MATCH($J1740,SorP!$B$1:$B$6230,0)),"",INDIRECT("'SorP'!$A$"&amp;MATCH($J1740,SorP!$B$1:$B$6230,0))))</f>
        <v/>
      </c>
      <c r="U1740" s="241"/>
      <c r="V1740" s="275" t="e">
        <f>IF(C1740="",NA(),MATCH($B1740&amp;$C1740,'Smelter Look-up'!$J:$J,0))</f>
        <v>#N/A</v>
      </c>
      <c r="W1740" s="276"/>
      <c r="X1740" s="276">
        <f t="shared" ca="1" si="247"/>
        <v>0</v>
      </c>
      <c r="Y1740" s="276"/>
      <c r="Z1740" s="276"/>
      <c r="AB1740" s="278" t="str">
        <f t="shared" si="248"/>
        <v/>
      </c>
    </row>
    <row r="1741" spans="1:28" s="277" customFormat="1" ht="20.25">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46"/>
        <v/>
      </c>
      <c r="T1741" s="225" t="str">
        <f ca="1">IF(B1741="","",IF(ISERROR(MATCH($J1741,SorP!$B$1:$B$6230,0)),"",INDIRECT("'SorP'!$A$"&amp;MATCH($J1741,SorP!$B$1:$B$6230,0))))</f>
        <v/>
      </c>
      <c r="U1741" s="241"/>
      <c r="V1741" s="275" t="e">
        <f>IF(C1741="",NA(),MATCH($B1741&amp;$C1741,'Smelter Look-up'!$J:$J,0))</f>
        <v>#N/A</v>
      </c>
      <c r="W1741" s="276"/>
      <c r="X1741" s="276">
        <f t="shared" ca="1" si="247"/>
        <v>0</v>
      </c>
      <c r="Y1741" s="276"/>
      <c r="Z1741" s="276"/>
      <c r="AB1741" s="278" t="str">
        <f t="shared" si="248"/>
        <v/>
      </c>
    </row>
    <row r="1742" spans="1:28" s="277" customFormat="1" ht="20.25">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46"/>
        <v/>
      </c>
      <c r="T1742" s="225" t="str">
        <f ca="1">IF(B1742="","",IF(ISERROR(MATCH($J1742,SorP!$B$1:$B$6230,0)),"",INDIRECT("'SorP'!$A$"&amp;MATCH($J1742,SorP!$B$1:$B$6230,0))))</f>
        <v/>
      </c>
      <c r="U1742" s="241"/>
      <c r="V1742" s="275" t="e">
        <f>IF(C1742="",NA(),MATCH($B1742&amp;$C1742,'Smelter Look-up'!$J:$J,0))</f>
        <v>#N/A</v>
      </c>
      <c r="W1742" s="276"/>
      <c r="X1742" s="276">
        <f t="shared" ca="1" si="247"/>
        <v>0</v>
      </c>
      <c r="Y1742" s="276"/>
      <c r="Z1742" s="276"/>
      <c r="AB1742" s="278" t="str">
        <f t="shared" si="248"/>
        <v/>
      </c>
    </row>
    <row r="1743" spans="1:28" s="277" customFormat="1" ht="20.25">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46"/>
        <v/>
      </c>
      <c r="T1743" s="225" t="str">
        <f ca="1">IF(B1743="","",IF(ISERROR(MATCH($J1743,SorP!$B$1:$B$6230,0)),"",INDIRECT("'SorP'!$A$"&amp;MATCH($J1743,SorP!$B$1:$B$6230,0))))</f>
        <v/>
      </c>
      <c r="U1743" s="241"/>
      <c r="V1743" s="275" t="e">
        <f>IF(C1743="",NA(),MATCH($B1743&amp;$C1743,'Smelter Look-up'!$J:$J,0))</f>
        <v>#N/A</v>
      </c>
      <c r="W1743" s="276"/>
      <c r="X1743" s="276">
        <f t="shared" ca="1" si="247"/>
        <v>0</v>
      </c>
      <c r="Y1743" s="276"/>
      <c r="Z1743" s="276"/>
      <c r="AB1743" s="278" t="str">
        <f t="shared" si="248"/>
        <v/>
      </c>
    </row>
    <row r="1744" spans="1:28" s="277" customFormat="1" ht="20.25">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246"/>
        <v/>
      </c>
      <c r="T1744" s="225" t="str">
        <f ca="1">IF(B1744="","",IF(ISERROR(MATCH($J1744,SorP!$B$1:$B$6230,0)),"",INDIRECT("'SorP'!$A$"&amp;MATCH($J1744,SorP!$B$1:$B$6230,0))))</f>
        <v/>
      </c>
      <c r="U1744" s="241"/>
      <c r="V1744" s="275" t="e">
        <f>IF(C1744="",NA(),MATCH($B1744&amp;$C1744,'Smelter Look-up'!$J:$J,0))</f>
        <v>#N/A</v>
      </c>
      <c r="W1744" s="276"/>
      <c r="X1744" s="276">
        <f t="shared" ca="1" si="247"/>
        <v>0</v>
      </c>
      <c r="Y1744" s="276"/>
      <c r="Z1744" s="276"/>
      <c r="AB1744" s="278" t="str">
        <f t="shared" si="248"/>
        <v/>
      </c>
    </row>
    <row r="1745" spans="1:28" s="277" customFormat="1" ht="20.25">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46"/>
        <v/>
      </c>
      <c r="T1745" s="225" t="str">
        <f ca="1">IF(B1745="","",IF(ISERROR(MATCH($J1745,SorP!$B$1:$B$6230,0)),"",INDIRECT("'SorP'!$A$"&amp;MATCH($J1745,SorP!$B$1:$B$6230,0))))</f>
        <v/>
      </c>
      <c r="U1745" s="241"/>
      <c r="V1745" s="275" t="e">
        <f>IF(C1745="",NA(),MATCH($B1745&amp;$C1745,'Smelter Look-up'!$J:$J,0))</f>
        <v>#N/A</v>
      </c>
      <c r="W1745" s="276"/>
      <c r="X1745" s="276">
        <f t="shared" ca="1" si="247"/>
        <v>0</v>
      </c>
      <c r="Y1745" s="276"/>
      <c r="Z1745" s="276"/>
      <c r="AB1745" s="278" t="str">
        <f t="shared" si="248"/>
        <v/>
      </c>
    </row>
    <row r="1746" spans="1:28" s="277" customFormat="1" ht="20.25">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246"/>
        <v/>
      </c>
      <c r="T1746" s="225" t="str">
        <f ca="1">IF(B1746="","",IF(ISERROR(MATCH($J1746,SorP!$B$1:$B$6230,0)),"",INDIRECT("'SorP'!$A$"&amp;MATCH($J1746,SorP!$B$1:$B$6230,0))))</f>
        <v/>
      </c>
      <c r="U1746" s="241"/>
      <c r="V1746" s="275" t="e">
        <f>IF(C1746="",NA(),MATCH($B1746&amp;$C1746,'Smelter Look-up'!$J:$J,0))</f>
        <v>#N/A</v>
      </c>
      <c r="W1746" s="276"/>
      <c r="X1746" s="276">
        <f t="shared" ca="1" si="247"/>
        <v>0</v>
      </c>
      <c r="Y1746" s="276"/>
      <c r="Z1746" s="276"/>
      <c r="AB1746" s="278" t="str">
        <f t="shared" si="248"/>
        <v/>
      </c>
    </row>
    <row r="1747" spans="1:28" s="277" customFormat="1" ht="20.25">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46"/>
        <v/>
      </c>
      <c r="T1747" s="225" t="str">
        <f ca="1">IF(B1747="","",IF(ISERROR(MATCH($J1747,SorP!$B$1:$B$6230,0)),"",INDIRECT("'SorP'!$A$"&amp;MATCH($J1747,SorP!$B$1:$B$6230,0))))</f>
        <v/>
      </c>
      <c r="U1747" s="241"/>
      <c r="V1747" s="275" t="e">
        <f>IF(C1747="",NA(),MATCH($B1747&amp;$C1747,'Smelter Look-up'!$J:$J,0))</f>
        <v>#N/A</v>
      </c>
      <c r="W1747" s="276"/>
      <c r="X1747" s="276">
        <f t="shared" ca="1" si="247"/>
        <v>0</v>
      </c>
      <c r="Y1747" s="276"/>
      <c r="Z1747" s="276"/>
      <c r="AB1747" s="278" t="str">
        <f t="shared" si="248"/>
        <v/>
      </c>
    </row>
    <row r="1748" spans="1:28" s="277" customFormat="1" ht="20.25">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46"/>
        <v/>
      </c>
      <c r="T1748" s="225" t="str">
        <f ca="1">IF(B1748="","",IF(ISERROR(MATCH($J1748,SorP!$B$1:$B$6230,0)),"",INDIRECT("'SorP'!$A$"&amp;MATCH($J1748,SorP!$B$1:$B$6230,0))))</f>
        <v/>
      </c>
      <c r="U1748" s="241"/>
      <c r="V1748" s="275" t="e">
        <f>IF(C1748="",NA(),MATCH($B1748&amp;$C1748,'Smelter Look-up'!$J:$J,0))</f>
        <v>#N/A</v>
      </c>
      <c r="W1748" s="276"/>
      <c r="X1748" s="276">
        <f t="shared" ca="1" si="247"/>
        <v>0</v>
      </c>
      <c r="Y1748" s="276"/>
      <c r="Z1748" s="276"/>
      <c r="AB1748" s="278" t="str">
        <f t="shared" si="248"/>
        <v/>
      </c>
    </row>
    <row r="1749" spans="1:28" s="277" customFormat="1" ht="20.25">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46"/>
        <v/>
      </c>
      <c r="T1749" s="225" t="str">
        <f ca="1">IF(B1749="","",IF(ISERROR(MATCH($J1749,SorP!$B$1:$B$6230,0)),"",INDIRECT("'SorP'!$A$"&amp;MATCH($J1749,SorP!$B$1:$B$6230,0))))</f>
        <v/>
      </c>
      <c r="U1749" s="241"/>
      <c r="V1749" s="275" t="e">
        <f>IF(C1749="",NA(),MATCH($B1749&amp;$C1749,'Smelter Look-up'!$J:$J,0))</f>
        <v>#N/A</v>
      </c>
      <c r="W1749" s="276"/>
      <c r="X1749" s="276">
        <f t="shared" ca="1" si="247"/>
        <v>0</v>
      </c>
      <c r="Y1749" s="276"/>
      <c r="Z1749" s="276"/>
      <c r="AB1749" s="278" t="str">
        <f t="shared" si="248"/>
        <v/>
      </c>
    </row>
    <row r="1750" spans="1:28" s="277" customFormat="1" ht="20.25">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46"/>
        <v/>
      </c>
      <c r="T1750" s="225" t="str">
        <f ca="1">IF(B1750="","",IF(ISERROR(MATCH($J1750,SorP!$B$1:$B$6230,0)),"",INDIRECT("'SorP'!$A$"&amp;MATCH($J1750,SorP!$B$1:$B$6230,0))))</f>
        <v/>
      </c>
      <c r="U1750" s="241"/>
      <c r="V1750" s="275" t="e">
        <f>IF(C1750="",NA(),MATCH($B1750&amp;$C1750,'Smelter Look-up'!$J:$J,0))</f>
        <v>#N/A</v>
      </c>
      <c r="W1750" s="276"/>
      <c r="X1750" s="276">
        <f t="shared" ca="1" si="247"/>
        <v>0</v>
      </c>
      <c r="Y1750" s="276"/>
      <c r="Z1750" s="276"/>
      <c r="AB1750" s="278" t="str">
        <f t="shared" si="248"/>
        <v/>
      </c>
    </row>
    <row r="1751" spans="1:28" s="277" customFormat="1" ht="20.25">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46"/>
        <v/>
      </c>
      <c r="T1751" s="225" t="str">
        <f ca="1">IF(B1751="","",IF(ISERROR(MATCH($J1751,SorP!$B$1:$B$6230,0)),"",INDIRECT("'SorP'!$A$"&amp;MATCH($J1751,SorP!$B$1:$B$6230,0))))</f>
        <v/>
      </c>
      <c r="U1751" s="241"/>
      <c r="V1751" s="275" t="e">
        <f>IF(C1751="",NA(),MATCH($B1751&amp;$C1751,'Smelter Look-up'!$J:$J,0))</f>
        <v>#N/A</v>
      </c>
      <c r="W1751" s="276"/>
      <c r="X1751" s="276">
        <f t="shared" ca="1" si="247"/>
        <v>0</v>
      </c>
      <c r="Y1751" s="276"/>
      <c r="Z1751" s="276"/>
      <c r="AB1751" s="278" t="str">
        <f t="shared" si="248"/>
        <v/>
      </c>
    </row>
    <row r="1752" spans="1:28" s="277" customFormat="1" ht="20.25">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46"/>
        <v/>
      </c>
      <c r="T1752" s="225" t="str">
        <f ca="1">IF(B1752="","",IF(ISERROR(MATCH($J1752,SorP!$B$1:$B$6230,0)),"",INDIRECT("'SorP'!$A$"&amp;MATCH($J1752,SorP!$B$1:$B$6230,0))))</f>
        <v/>
      </c>
      <c r="U1752" s="241"/>
      <c r="V1752" s="275" t="e">
        <f>IF(C1752="",NA(),MATCH($B1752&amp;$C1752,'Smelter Look-up'!$J:$J,0))</f>
        <v>#N/A</v>
      </c>
      <c r="W1752" s="276"/>
      <c r="X1752" s="276">
        <f t="shared" ca="1" si="247"/>
        <v>0</v>
      </c>
      <c r="Y1752" s="276"/>
      <c r="Z1752" s="276"/>
      <c r="AB1752" s="278" t="str">
        <f t="shared" si="248"/>
        <v/>
      </c>
    </row>
    <row r="1753" spans="1:28" s="277" customFormat="1" ht="20.25">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46"/>
        <v/>
      </c>
      <c r="T1753" s="225" t="str">
        <f ca="1">IF(B1753="","",IF(ISERROR(MATCH($J1753,SorP!$B$1:$B$6230,0)),"",INDIRECT("'SorP'!$A$"&amp;MATCH($J1753,SorP!$B$1:$B$6230,0))))</f>
        <v/>
      </c>
      <c r="U1753" s="241"/>
      <c r="V1753" s="275" t="e">
        <f>IF(C1753="",NA(),MATCH($B1753&amp;$C1753,'Smelter Look-up'!$J:$J,0))</f>
        <v>#N/A</v>
      </c>
      <c r="W1753" s="276"/>
      <c r="X1753" s="276">
        <f t="shared" ca="1" si="247"/>
        <v>0</v>
      </c>
      <c r="Y1753" s="276"/>
      <c r="Z1753" s="276"/>
      <c r="AB1753" s="278" t="str">
        <f t="shared" si="248"/>
        <v/>
      </c>
    </row>
    <row r="1754" spans="1:28" s="277" customFormat="1" ht="20.25">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46"/>
        <v/>
      </c>
      <c r="T1754" s="225" t="str">
        <f ca="1">IF(B1754="","",IF(ISERROR(MATCH($J1754,SorP!$B$1:$B$6230,0)),"",INDIRECT("'SorP'!$A$"&amp;MATCH($J1754,SorP!$B$1:$B$6230,0))))</f>
        <v/>
      </c>
      <c r="U1754" s="241"/>
      <c r="V1754" s="275" t="e">
        <f>IF(C1754="",NA(),MATCH($B1754&amp;$C1754,'Smelter Look-up'!$J:$J,0))</f>
        <v>#N/A</v>
      </c>
      <c r="W1754" s="276"/>
      <c r="X1754" s="276">
        <f t="shared" ca="1" si="247"/>
        <v>0</v>
      </c>
      <c r="Y1754" s="276"/>
      <c r="Z1754" s="276"/>
      <c r="AB1754" s="278" t="str">
        <f t="shared" si="248"/>
        <v/>
      </c>
    </row>
    <row r="1755" spans="1:28" s="277" customFormat="1" ht="20.25">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246"/>
        <v/>
      </c>
      <c r="T1755" s="225" t="str">
        <f ca="1">IF(B1755="","",IF(ISERROR(MATCH($J1755,SorP!$B$1:$B$6230,0)),"",INDIRECT("'SorP'!$A$"&amp;MATCH($J1755,SorP!$B$1:$B$6230,0))))</f>
        <v/>
      </c>
      <c r="U1755" s="241"/>
      <c r="V1755" s="275" t="e">
        <f>IF(C1755="",NA(),MATCH($B1755&amp;$C1755,'Smelter Look-up'!$J:$J,0))</f>
        <v>#N/A</v>
      </c>
      <c r="W1755" s="276"/>
      <c r="X1755" s="276">
        <f t="shared" ca="1" si="247"/>
        <v>0</v>
      </c>
      <c r="Y1755" s="276"/>
      <c r="Z1755" s="276"/>
      <c r="AB1755" s="278" t="str">
        <f t="shared" si="248"/>
        <v/>
      </c>
    </row>
    <row r="1756" spans="1:28" s="277" customFormat="1" ht="20.25">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ref="S1756:S1786" ca="1" si="249">IF(B1756="","",IF(ISERROR(MATCH($E1756,CL,0)),"Unknown",INDIRECT("'C'!$A$"&amp;MATCH($E1756,CL,0)+1)))</f>
        <v/>
      </c>
      <c r="T1756" s="225" t="str">
        <f ca="1">IF(B1756="","",IF(ISERROR(MATCH($J1756,SorP!$B$1:$B$6230,0)),"",INDIRECT("'SorP'!$A$"&amp;MATCH($J1756,SorP!$B$1:$B$6230,0))))</f>
        <v/>
      </c>
      <c r="U1756" s="241"/>
      <c r="V1756" s="275" t="e">
        <f>IF(C1756="",NA(),MATCH($B1756&amp;$C1756,'Smelter Look-up'!$J:$J,0))</f>
        <v>#N/A</v>
      </c>
      <c r="W1756" s="276"/>
      <c r="X1756" s="276">
        <f t="shared" ref="X1756:X1786" ca="1" si="250">IF(AND(C1756="Smelter not listed",OR(LEN(D1756)=0,LEN(E1756)=0)),1,0)</f>
        <v>0</v>
      </c>
      <c r="Y1756" s="276"/>
      <c r="Z1756" s="276"/>
      <c r="AB1756" s="278" t="str">
        <f t="shared" ref="AB1756:AB1786" si="251">B1756&amp;C1756</f>
        <v/>
      </c>
    </row>
    <row r="1757" spans="1:28" s="277" customFormat="1" ht="20.25">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49"/>
        <v/>
      </c>
      <c r="T1757" s="225" t="str">
        <f ca="1">IF(B1757="","",IF(ISERROR(MATCH($J1757,SorP!$B$1:$B$6230,0)),"",INDIRECT("'SorP'!$A$"&amp;MATCH($J1757,SorP!$B$1:$B$6230,0))))</f>
        <v/>
      </c>
      <c r="U1757" s="241"/>
      <c r="V1757" s="275" t="e">
        <f>IF(C1757="",NA(),MATCH($B1757&amp;$C1757,'Smelter Look-up'!$J:$J,0))</f>
        <v>#N/A</v>
      </c>
      <c r="W1757" s="276"/>
      <c r="X1757" s="276">
        <f t="shared" ca="1" si="250"/>
        <v>0</v>
      </c>
      <c r="Y1757" s="276"/>
      <c r="Z1757" s="276"/>
      <c r="AB1757" s="278" t="str">
        <f t="shared" si="251"/>
        <v/>
      </c>
    </row>
    <row r="1758" spans="1:28" s="277" customFormat="1" ht="20.25">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49"/>
        <v/>
      </c>
      <c r="T1758" s="225" t="str">
        <f ca="1">IF(B1758="","",IF(ISERROR(MATCH($J1758,SorP!$B$1:$B$6230,0)),"",INDIRECT("'SorP'!$A$"&amp;MATCH($J1758,SorP!$B$1:$B$6230,0))))</f>
        <v/>
      </c>
      <c r="U1758" s="241"/>
      <c r="V1758" s="275" t="e">
        <f>IF(C1758="",NA(),MATCH($B1758&amp;$C1758,'Smelter Look-up'!$J:$J,0))</f>
        <v>#N/A</v>
      </c>
      <c r="W1758" s="276"/>
      <c r="X1758" s="276">
        <f t="shared" ca="1" si="250"/>
        <v>0</v>
      </c>
      <c r="Y1758" s="276"/>
      <c r="Z1758" s="276"/>
      <c r="AB1758" s="278" t="str">
        <f t="shared" si="251"/>
        <v/>
      </c>
    </row>
    <row r="1759" spans="1:28" s="277" customFormat="1" ht="20.25">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49"/>
        <v/>
      </c>
      <c r="T1759" s="225" t="str">
        <f ca="1">IF(B1759="","",IF(ISERROR(MATCH($J1759,SorP!$B$1:$B$6230,0)),"",INDIRECT("'SorP'!$A$"&amp;MATCH($J1759,SorP!$B$1:$B$6230,0))))</f>
        <v/>
      </c>
      <c r="U1759" s="241"/>
      <c r="V1759" s="275" t="e">
        <f>IF(C1759="",NA(),MATCH($B1759&amp;$C1759,'Smelter Look-up'!$J:$J,0))</f>
        <v>#N/A</v>
      </c>
      <c r="W1759" s="276"/>
      <c r="X1759" s="276">
        <f t="shared" ca="1" si="250"/>
        <v>0</v>
      </c>
      <c r="Y1759" s="276"/>
      <c r="Z1759" s="276"/>
      <c r="AB1759" s="278" t="str">
        <f t="shared" si="251"/>
        <v/>
      </c>
    </row>
    <row r="1760" spans="1:28" s="277" customFormat="1" ht="20.25">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49"/>
        <v/>
      </c>
      <c r="T1760" s="225" t="str">
        <f ca="1">IF(B1760="","",IF(ISERROR(MATCH($J1760,SorP!$B$1:$B$6230,0)),"",INDIRECT("'SorP'!$A$"&amp;MATCH($J1760,SorP!$B$1:$B$6230,0))))</f>
        <v/>
      </c>
      <c r="U1760" s="241"/>
      <c r="V1760" s="275" t="e">
        <f>IF(C1760="",NA(),MATCH($B1760&amp;$C1760,'Smelter Look-up'!$J:$J,0))</f>
        <v>#N/A</v>
      </c>
      <c r="W1760" s="276"/>
      <c r="X1760" s="276">
        <f t="shared" ca="1" si="250"/>
        <v>0</v>
      </c>
      <c r="Y1760" s="276"/>
      <c r="Z1760" s="276"/>
      <c r="AB1760" s="278" t="str">
        <f t="shared" si="251"/>
        <v/>
      </c>
    </row>
    <row r="1761" spans="1:28" s="277" customFormat="1" ht="20.25">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49"/>
        <v/>
      </c>
      <c r="T1761" s="225" t="str">
        <f ca="1">IF(B1761="","",IF(ISERROR(MATCH($J1761,SorP!$B$1:$B$6230,0)),"",INDIRECT("'SorP'!$A$"&amp;MATCH($J1761,SorP!$B$1:$B$6230,0))))</f>
        <v/>
      </c>
      <c r="U1761" s="241"/>
      <c r="V1761" s="275" t="e">
        <f>IF(C1761="",NA(),MATCH($B1761&amp;$C1761,'Smelter Look-up'!$J:$J,0))</f>
        <v>#N/A</v>
      </c>
      <c r="W1761" s="276"/>
      <c r="X1761" s="276">
        <f t="shared" ca="1" si="250"/>
        <v>0</v>
      </c>
      <c r="Y1761" s="276"/>
      <c r="Z1761" s="276"/>
      <c r="AB1761" s="278" t="str">
        <f t="shared" si="251"/>
        <v/>
      </c>
    </row>
    <row r="1762" spans="1:28" s="277" customFormat="1" ht="20.25">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49"/>
        <v/>
      </c>
      <c r="T1762" s="225" t="str">
        <f ca="1">IF(B1762="","",IF(ISERROR(MATCH($J1762,SorP!$B$1:$B$6230,0)),"",INDIRECT("'SorP'!$A$"&amp;MATCH($J1762,SorP!$B$1:$B$6230,0))))</f>
        <v/>
      </c>
      <c r="U1762" s="241"/>
      <c r="V1762" s="275" t="e">
        <f>IF(C1762="",NA(),MATCH($B1762&amp;$C1762,'Smelter Look-up'!$J:$J,0))</f>
        <v>#N/A</v>
      </c>
      <c r="W1762" s="276"/>
      <c r="X1762" s="276">
        <f t="shared" ca="1" si="250"/>
        <v>0</v>
      </c>
      <c r="Y1762" s="276"/>
      <c r="Z1762" s="276"/>
      <c r="AB1762" s="278" t="str">
        <f t="shared" si="251"/>
        <v/>
      </c>
    </row>
    <row r="1763" spans="1:28" s="277" customFormat="1" ht="20.25">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49"/>
        <v/>
      </c>
      <c r="T1763" s="225" t="str">
        <f ca="1">IF(B1763="","",IF(ISERROR(MATCH($J1763,SorP!$B$1:$B$6230,0)),"",INDIRECT("'SorP'!$A$"&amp;MATCH($J1763,SorP!$B$1:$B$6230,0))))</f>
        <v/>
      </c>
      <c r="U1763" s="241"/>
      <c r="V1763" s="275" t="e">
        <f>IF(C1763="",NA(),MATCH($B1763&amp;$C1763,'Smelter Look-up'!$J:$J,0))</f>
        <v>#N/A</v>
      </c>
      <c r="W1763" s="276"/>
      <c r="X1763" s="276">
        <f t="shared" ca="1" si="250"/>
        <v>0</v>
      </c>
      <c r="Y1763" s="276"/>
      <c r="Z1763" s="276"/>
      <c r="AB1763" s="278" t="str">
        <f t="shared" si="251"/>
        <v/>
      </c>
    </row>
    <row r="1764" spans="1:28" s="277" customFormat="1" ht="20.25">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49"/>
        <v/>
      </c>
      <c r="T1764" s="225" t="str">
        <f ca="1">IF(B1764="","",IF(ISERROR(MATCH($J1764,SorP!$B$1:$B$6230,0)),"",INDIRECT("'SorP'!$A$"&amp;MATCH($J1764,SorP!$B$1:$B$6230,0))))</f>
        <v/>
      </c>
      <c r="U1764" s="241"/>
      <c r="V1764" s="275" t="e">
        <f>IF(C1764="",NA(),MATCH($B1764&amp;$C1764,'Smelter Look-up'!$J:$J,0))</f>
        <v>#N/A</v>
      </c>
      <c r="W1764" s="276"/>
      <c r="X1764" s="276">
        <f t="shared" ca="1" si="250"/>
        <v>0</v>
      </c>
      <c r="Y1764" s="276"/>
      <c r="Z1764" s="276"/>
      <c r="AB1764" s="278" t="str">
        <f t="shared" si="251"/>
        <v/>
      </c>
    </row>
    <row r="1765" spans="1:28" s="277" customFormat="1" ht="20.25">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49"/>
        <v/>
      </c>
      <c r="T1765" s="225" t="str">
        <f ca="1">IF(B1765="","",IF(ISERROR(MATCH($J1765,SorP!$B$1:$B$6230,0)),"",INDIRECT("'SorP'!$A$"&amp;MATCH($J1765,SorP!$B$1:$B$6230,0))))</f>
        <v/>
      </c>
      <c r="U1765" s="241"/>
      <c r="V1765" s="275" t="e">
        <f>IF(C1765="",NA(),MATCH($B1765&amp;$C1765,'Smelter Look-up'!$J:$J,0))</f>
        <v>#N/A</v>
      </c>
      <c r="W1765" s="276"/>
      <c r="X1765" s="276">
        <f t="shared" ca="1" si="250"/>
        <v>0</v>
      </c>
      <c r="Y1765" s="276"/>
      <c r="Z1765" s="276"/>
      <c r="AB1765" s="278" t="str">
        <f t="shared" si="251"/>
        <v/>
      </c>
    </row>
    <row r="1766" spans="1:28" s="277" customFormat="1" ht="20.25">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49"/>
        <v/>
      </c>
      <c r="T1766" s="225" t="str">
        <f ca="1">IF(B1766="","",IF(ISERROR(MATCH($J1766,SorP!$B$1:$B$6230,0)),"",INDIRECT("'SorP'!$A$"&amp;MATCH($J1766,SorP!$B$1:$B$6230,0))))</f>
        <v/>
      </c>
      <c r="U1766" s="241"/>
      <c r="V1766" s="275" t="e">
        <f>IF(C1766="",NA(),MATCH($B1766&amp;$C1766,'Smelter Look-up'!$J:$J,0))</f>
        <v>#N/A</v>
      </c>
      <c r="W1766" s="276"/>
      <c r="X1766" s="276">
        <f t="shared" ca="1" si="250"/>
        <v>0</v>
      </c>
      <c r="Y1766" s="276"/>
      <c r="Z1766" s="276"/>
      <c r="AB1766" s="278" t="str">
        <f t="shared" si="251"/>
        <v/>
      </c>
    </row>
    <row r="1767" spans="1:28" s="277" customFormat="1" ht="20.25">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49"/>
        <v/>
      </c>
      <c r="T1767" s="225" t="str">
        <f ca="1">IF(B1767="","",IF(ISERROR(MATCH($J1767,SorP!$B$1:$B$6230,0)),"",INDIRECT("'SorP'!$A$"&amp;MATCH($J1767,SorP!$B$1:$B$6230,0))))</f>
        <v/>
      </c>
      <c r="U1767" s="241"/>
      <c r="V1767" s="275" t="e">
        <f>IF(C1767="",NA(),MATCH($B1767&amp;$C1767,'Smelter Look-up'!$J:$J,0))</f>
        <v>#N/A</v>
      </c>
      <c r="W1767" s="276"/>
      <c r="X1767" s="276">
        <f t="shared" ca="1" si="250"/>
        <v>0</v>
      </c>
      <c r="Y1767" s="276"/>
      <c r="Z1767" s="276"/>
      <c r="AB1767" s="278" t="str">
        <f t="shared" si="251"/>
        <v/>
      </c>
    </row>
    <row r="1768" spans="1:28" s="277" customFormat="1" ht="20.25">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49"/>
        <v/>
      </c>
      <c r="T1768" s="225" t="str">
        <f ca="1">IF(B1768="","",IF(ISERROR(MATCH($J1768,SorP!$B$1:$B$6230,0)),"",INDIRECT("'SorP'!$A$"&amp;MATCH($J1768,SorP!$B$1:$B$6230,0))))</f>
        <v/>
      </c>
      <c r="U1768" s="241"/>
      <c r="V1768" s="275" t="e">
        <f>IF(C1768="",NA(),MATCH($B1768&amp;$C1768,'Smelter Look-up'!$J:$J,0))</f>
        <v>#N/A</v>
      </c>
      <c r="W1768" s="276"/>
      <c r="X1768" s="276">
        <f t="shared" ca="1" si="250"/>
        <v>0</v>
      </c>
      <c r="Y1768" s="276"/>
      <c r="Z1768" s="276"/>
      <c r="AB1768" s="278" t="str">
        <f t="shared" si="251"/>
        <v/>
      </c>
    </row>
    <row r="1769" spans="1:28" s="277" customFormat="1" ht="20.25">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49"/>
        <v/>
      </c>
      <c r="T1769" s="225" t="str">
        <f ca="1">IF(B1769="","",IF(ISERROR(MATCH($J1769,SorP!$B$1:$B$6230,0)),"",INDIRECT("'SorP'!$A$"&amp;MATCH($J1769,SorP!$B$1:$B$6230,0))))</f>
        <v/>
      </c>
      <c r="U1769" s="241"/>
      <c r="V1769" s="275" t="e">
        <f>IF(C1769="",NA(),MATCH($B1769&amp;$C1769,'Smelter Look-up'!$J:$J,0))</f>
        <v>#N/A</v>
      </c>
      <c r="W1769" s="276"/>
      <c r="X1769" s="276">
        <f t="shared" ca="1" si="250"/>
        <v>0</v>
      </c>
      <c r="Y1769" s="276"/>
      <c r="Z1769" s="276"/>
      <c r="AB1769" s="278" t="str">
        <f t="shared" si="251"/>
        <v/>
      </c>
    </row>
    <row r="1770" spans="1:28" s="277" customFormat="1" ht="20.25">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49"/>
        <v/>
      </c>
      <c r="T1770" s="225" t="str">
        <f ca="1">IF(B1770="","",IF(ISERROR(MATCH($J1770,SorP!$B$1:$B$6230,0)),"",INDIRECT("'SorP'!$A$"&amp;MATCH($J1770,SorP!$B$1:$B$6230,0))))</f>
        <v/>
      </c>
      <c r="U1770" s="241"/>
      <c r="V1770" s="275" t="e">
        <f>IF(C1770="",NA(),MATCH($B1770&amp;$C1770,'Smelter Look-up'!$J:$J,0))</f>
        <v>#N/A</v>
      </c>
      <c r="W1770" s="276"/>
      <c r="X1770" s="276">
        <f t="shared" ca="1" si="250"/>
        <v>0</v>
      </c>
      <c r="Y1770" s="276"/>
      <c r="Z1770" s="276"/>
      <c r="AB1770" s="278" t="str">
        <f t="shared" si="251"/>
        <v/>
      </c>
    </row>
    <row r="1771" spans="1:28" s="277" customFormat="1" ht="20.25">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49"/>
        <v/>
      </c>
      <c r="T1771" s="225" t="str">
        <f ca="1">IF(B1771="","",IF(ISERROR(MATCH($J1771,SorP!$B$1:$B$6230,0)),"",INDIRECT("'SorP'!$A$"&amp;MATCH($J1771,SorP!$B$1:$B$6230,0))))</f>
        <v/>
      </c>
      <c r="U1771" s="241"/>
      <c r="V1771" s="275" t="e">
        <f>IF(C1771="",NA(),MATCH($B1771&amp;$C1771,'Smelter Look-up'!$J:$J,0))</f>
        <v>#N/A</v>
      </c>
      <c r="W1771" s="276"/>
      <c r="X1771" s="276">
        <f t="shared" ca="1" si="250"/>
        <v>0</v>
      </c>
      <c r="Y1771" s="276"/>
      <c r="Z1771" s="276"/>
      <c r="AB1771" s="278" t="str">
        <f t="shared" si="251"/>
        <v/>
      </c>
    </row>
    <row r="1772" spans="1:28" s="277" customFormat="1" ht="20.25">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49"/>
        <v/>
      </c>
      <c r="T1772" s="225" t="str">
        <f ca="1">IF(B1772="","",IF(ISERROR(MATCH($J1772,SorP!$B$1:$B$6230,0)),"",INDIRECT("'SorP'!$A$"&amp;MATCH($J1772,SorP!$B$1:$B$6230,0))))</f>
        <v/>
      </c>
      <c r="U1772" s="241"/>
      <c r="V1772" s="275" t="e">
        <f>IF(C1772="",NA(),MATCH($B1772&amp;$C1772,'Smelter Look-up'!$J:$J,0))</f>
        <v>#N/A</v>
      </c>
      <c r="W1772" s="276"/>
      <c r="X1772" s="276">
        <f t="shared" ca="1" si="250"/>
        <v>0</v>
      </c>
      <c r="Y1772" s="276"/>
      <c r="Z1772" s="276"/>
      <c r="AB1772" s="278" t="str">
        <f t="shared" si="251"/>
        <v/>
      </c>
    </row>
    <row r="1773" spans="1:28" s="277" customFormat="1" ht="20.25">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49"/>
        <v/>
      </c>
      <c r="T1773" s="225" t="str">
        <f ca="1">IF(B1773="","",IF(ISERROR(MATCH($J1773,SorP!$B$1:$B$6230,0)),"",INDIRECT("'SorP'!$A$"&amp;MATCH($J1773,SorP!$B$1:$B$6230,0))))</f>
        <v/>
      </c>
      <c r="U1773" s="241"/>
      <c r="V1773" s="275" t="e">
        <f>IF(C1773="",NA(),MATCH($B1773&amp;$C1773,'Smelter Look-up'!$J:$J,0))</f>
        <v>#N/A</v>
      </c>
      <c r="W1773" s="276"/>
      <c r="X1773" s="276">
        <f t="shared" ca="1" si="250"/>
        <v>0</v>
      </c>
      <c r="Y1773" s="276"/>
      <c r="Z1773" s="276"/>
      <c r="AB1773" s="278" t="str">
        <f t="shared" si="251"/>
        <v/>
      </c>
    </row>
    <row r="1774" spans="1:28" s="277" customFormat="1" ht="20.25">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49"/>
        <v/>
      </c>
      <c r="T1774" s="225" t="str">
        <f ca="1">IF(B1774="","",IF(ISERROR(MATCH($J1774,SorP!$B$1:$B$6230,0)),"",INDIRECT("'SorP'!$A$"&amp;MATCH($J1774,SorP!$B$1:$B$6230,0))))</f>
        <v/>
      </c>
      <c r="U1774" s="241"/>
      <c r="V1774" s="275" t="e">
        <f>IF(C1774="",NA(),MATCH($B1774&amp;$C1774,'Smelter Look-up'!$J:$J,0))</f>
        <v>#N/A</v>
      </c>
      <c r="W1774" s="276"/>
      <c r="X1774" s="276">
        <f t="shared" ca="1" si="250"/>
        <v>0</v>
      </c>
      <c r="Y1774" s="276"/>
      <c r="Z1774" s="276"/>
      <c r="AB1774" s="278" t="str">
        <f t="shared" si="251"/>
        <v/>
      </c>
    </row>
    <row r="1775" spans="1:28" s="277" customFormat="1" ht="20.25">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249"/>
        <v/>
      </c>
      <c r="T1775" s="225" t="str">
        <f ca="1">IF(B1775="","",IF(ISERROR(MATCH($J1775,SorP!$B$1:$B$6230,0)),"",INDIRECT("'SorP'!$A$"&amp;MATCH($J1775,SorP!$B$1:$B$6230,0))))</f>
        <v/>
      </c>
      <c r="U1775" s="241"/>
      <c r="V1775" s="275" t="e">
        <f>IF(C1775="",NA(),MATCH($B1775&amp;$C1775,'Smelter Look-up'!$J:$J,0))</f>
        <v>#N/A</v>
      </c>
      <c r="W1775" s="276"/>
      <c r="X1775" s="276">
        <f t="shared" ca="1" si="250"/>
        <v>0</v>
      </c>
      <c r="Y1775" s="276"/>
      <c r="Z1775" s="276"/>
      <c r="AB1775" s="278" t="str">
        <f t="shared" si="251"/>
        <v/>
      </c>
    </row>
    <row r="1776" spans="1:28" s="277" customFormat="1" ht="20.25">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249"/>
        <v/>
      </c>
      <c r="T1776" s="225" t="str">
        <f ca="1">IF(B1776="","",IF(ISERROR(MATCH($J1776,SorP!$B$1:$B$6230,0)),"",INDIRECT("'SorP'!$A$"&amp;MATCH($J1776,SorP!$B$1:$B$6230,0))))</f>
        <v/>
      </c>
      <c r="U1776" s="241"/>
      <c r="V1776" s="275" t="e">
        <f>IF(C1776="",NA(),MATCH($B1776&amp;$C1776,'Smelter Look-up'!$J:$J,0))</f>
        <v>#N/A</v>
      </c>
      <c r="W1776" s="276"/>
      <c r="X1776" s="276">
        <f t="shared" ca="1" si="250"/>
        <v>0</v>
      </c>
      <c r="Y1776" s="276"/>
      <c r="Z1776" s="276"/>
      <c r="AB1776" s="278" t="str">
        <f t="shared" si="251"/>
        <v/>
      </c>
    </row>
    <row r="1777" spans="1:28" s="277" customFormat="1" ht="20.25">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249"/>
        <v/>
      </c>
      <c r="T1777" s="225" t="str">
        <f ca="1">IF(B1777="","",IF(ISERROR(MATCH($J1777,SorP!$B$1:$B$6230,0)),"",INDIRECT("'SorP'!$A$"&amp;MATCH($J1777,SorP!$B$1:$B$6230,0))))</f>
        <v/>
      </c>
      <c r="U1777" s="241"/>
      <c r="V1777" s="275" t="e">
        <f>IF(C1777="",NA(),MATCH($B1777&amp;$C1777,'Smelter Look-up'!$J:$J,0))</f>
        <v>#N/A</v>
      </c>
      <c r="W1777" s="276"/>
      <c r="X1777" s="276">
        <f t="shared" ca="1" si="250"/>
        <v>0</v>
      </c>
      <c r="Y1777" s="276"/>
      <c r="Z1777" s="276"/>
      <c r="AB1777" s="278" t="str">
        <f t="shared" si="251"/>
        <v/>
      </c>
    </row>
    <row r="1778" spans="1:28" s="277" customFormat="1" ht="20.25">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249"/>
        <v/>
      </c>
      <c r="T1778" s="225" t="str">
        <f ca="1">IF(B1778="","",IF(ISERROR(MATCH($J1778,SorP!$B$1:$B$6230,0)),"",INDIRECT("'SorP'!$A$"&amp;MATCH($J1778,SorP!$B$1:$B$6230,0))))</f>
        <v/>
      </c>
      <c r="U1778" s="241"/>
      <c r="V1778" s="275" t="e">
        <f>IF(C1778="",NA(),MATCH($B1778&amp;$C1778,'Smelter Look-up'!$J:$J,0))</f>
        <v>#N/A</v>
      </c>
      <c r="W1778" s="276"/>
      <c r="X1778" s="276">
        <f t="shared" ca="1" si="250"/>
        <v>0</v>
      </c>
      <c r="Y1778" s="276"/>
      <c r="Z1778" s="276"/>
      <c r="AB1778" s="278" t="str">
        <f t="shared" si="251"/>
        <v/>
      </c>
    </row>
    <row r="1779" spans="1:28" s="277" customFormat="1" ht="20.25">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49"/>
        <v/>
      </c>
      <c r="T1779" s="225" t="str">
        <f ca="1">IF(B1779="","",IF(ISERROR(MATCH($J1779,SorP!$B$1:$B$6230,0)),"",INDIRECT("'SorP'!$A$"&amp;MATCH($J1779,SorP!$B$1:$B$6230,0))))</f>
        <v/>
      </c>
      <c r="U1779" s="241"/>
      <c r="V1779" s="275" t="e">
        <f>IF(C1779="",NA(),MATCH($B1779&amp;$C1779,'Smelter Look-up'!$J:$J,0))</f>
        <v>#N/A</v>
      </c>
      <c r="W1779" s="276"/>
      <c r="X1779" s="276">
        <f t="shared" ca="1" si="250"/>
        <v>0</v>
      </c>
      <c r="Y1779" s="276"/>
      <c r="Z1779" s="276"/>
      <c r="AB1779" s="278" t="str">
        <f t="shared" si="251"/>
        <v/>
      </c>
    </row>
    <row r="1780" spans="1:28" s="277" customFormat="1" ht="20.25">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49"/>
        <v/>
      </c>
      <c r="T1780" s="225" t="str">
        <f ca="1">IF(B1780="","",IF(ISERROR(MATCH($J1780,SorP!$B$1:$B$6230,0)),"",INDIRECT("'SorP'!$A$"&amp;MATCH($J1780,SorP!$B$1:$B$6230,0))))</f>
        <v/>
      </c>
      <c r="U1780" s="241"/>
      <c r="V1780" s="275" t="e">
        <f>IF(C1780="",NA(),MATCH($B1780&amp;$C1780,'Smelter Look-up'!$J:$J,0))</f>
        <v>#N/A</v>
      </c>
      <c r="W1780" s="276"/>
      <c r="X1780" s="276">
        <f t="shared" ca="1" si="250"/>
        <v>0</v>
      </c>
      <c r="Y1780" s="276"/>
      <c r="Z1780" s="276"/>
      <c r="AB1780" s="278" t="str">
        <f t="shared" si="251"/>
        <v/>
      </c>
    </row>
    <row r="1781" spans="1:28" s="277" customFormat="1" ht="20.25">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49"/>
        <v/>
      </c>
      <c r="T1781" s="225" t="str">
        <f ca="1">IF(B1781="","",IF(ISERROR(MATCH($J1781,SorP!$B$1:$B$6230,0)),"",INDIRECT("'SorP'!$A$"&amp;MATCH($J1781,SorP!$B$1:$B$6230,0))))</f>
        <v/>
      </c>
      <c r="U1781" s="241"/>
      <c r="V1781" s="275" t="e">
        <f>IF(C1781="",NA(),MATCH($B1781&amp;$C1781,'Smelter Look-up'!$J:$J,0))</f>
        <v>#N/A</v>
      </c>
      <c r="W1781" s="276"/>
      <c r="X1781" s="276">
        <f t="shared" ca="1" si="250"/>
        <v>0</v>
      </c>
      <c r="Y1781" s="276"/>
      <c r="Z1781" s="276"/>
      <c r="AB1781" s="278" t="str">
        <f t="shared" si="251"/>
        <v/>
      </c>
    </row>
    <row r="1782" spans="1:28" s="277" customFormat="1" ht="20.25">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49"/>
        <v/>
      </c>
      <c r="T1782" s="225" t="str">
        <f ca="1">IF(B1782="","",IF(ISERROR(MATCH($J1782,SorP!$B$1:$B$6230,0)),"",INDIRECT("'SorP'!$A$"&amp;MATCH($J1782,SorP!$B$1:$B$6230,0))))</f>
        <v/>
      </c>
      <c r="U1782" s="241"/>
      <c r="V1782" s="275" t="e">
        <f>IF(C1782="",NA(),MATCH($B1782&amp;$C1782,'Smelter Look-up'!$J:$J,0))</f>
        <v>#N/A</v>
      </c>
      <c r="W1782" s="276"/>
      <c r="X1782" s="276">
        <f t="shared" ca="1" si="250"/>
        <v>0</v>
      </c>
      <c r="Y1782" s="276"/>
      <c r="Z1782" s="276"/>
      <c r="AB1782" s="278" t="str">
        <f t="shared" si="251"/>
        <v/>
      </c>
    </row>
    <row r="1783" spans="1:28" s="277" customFormat="1" ht="20.25">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49"/>
        <v/>
      </c>
      <c r="T1783" s="225" t="str">
        <f ca="1">IF(B1783="","",IF(ISERROR(MATCH($J1783,SorP!$B$1:$B$6230,0)),"",INDIRECT("'SorP'!$A$"&amp;MATCH($J1783,SorP!$B$1:$B$6230,0))))</f>
        <v/>
      </c>
      <c r="U1783" s="241"/>
      <c r="V1783" s="275" t="e">
        <f>IF(C1783="",NA(),MATCH($B1783&amp;$C1783,'Smelter Look-up'!$J:$J,0))</f>
        <v>#N/A</v>
      </c>
      <c r="W1783" s="276"/>
      <c r="X1783" s="276">
        <f t="shared" ca="1" si="250"/>
        <v>0</v>
      </c>
      <c r="Y1783" s="276"/>
      <c r="Z1783" s="276"/>
      <c r="AB1783" s="278" t="str">
        <f t="shared" si="251"/>
        <v/>
      </c>
    </row>
    <row r="1784" spans="1:28" s="277" customFormat="1" ht="20.25">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49"/>
        <v/>
      </c>
      <c r="T1784" s="225" t="str">
        <f ca="1">IF(B1784="","",IF(ISERROR(MATCH($J1784,SorP!$B$1:$B$6230,0)),"",INDIRECT("'SorP'!$A$"&amp;MATCH($J1784,SorP!$B$1:$B$6230,0))))</f>
        <v/>
      </c>
      <c r="U1784" s="241"/>
      <c r="V1784" s="275" t="e">
        <f>IF(C1784="",NA(),MATCH($B1784&amp;$C1784,'Smelter Look-up'!$J:$J,0))</f>
        <v>#N/A</v>
      </c>
      <c r="W1784" s="276"/>
      <c r="X1784" s="276">
        <f t="shared" ca="1" si="250"/>
        <v>0</v>
      </c>
      <c r="Y1784" s="276"/>
      <c r="Z1784" s="276"/>
      <c r="AB1784" s="278" t="str">
        <f t="shared" si="251"/>
        <v/>
      </c>
    </row>
    <row r="1785" spans="1:28" s="277" customFormat="1" ht="20.25">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49"/>
        <v/>
      </c>
      <c r="T1785" s="225" t="str">
        <f ca="1">IF(B1785="","",IF(ISERROR(MATCH($J1785,SorP!$B$1:$B$6230,0)),"",INDIRECT("'SorP'!$A$"&amp;MATCH($J1785,SorP!$B$1:$B$6230,0))))</f>
        <v/>
      </c>
      <c r="U1785" s="241"/>
      <c r="V1785" s="275" t="e">
        <f>IF(C1785="",NA(),MATCH($B1785&amp;$C1785,'Smelter Look-up'!$J:$J,0))</f>
        <v>#N/A</v>
      </c>
      <c r="W1785" s="276"/>
      <c r="X1785" s="276">
        <f t="shared" ca="1" si="250"/>
        <v>0</v>
      </c>
      <c r="Y1785" s="276"/>
      <c r="Z1785" s="276"/>
      <c r="AB1785" s="278" t="str">
        <f t="shared" si="251"/>
        <v/>
      </c>
    </row>
    <row r="1786" spans="1:28" s="277" customFormat="1" ht="20.25">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249"/>
        <v/>
      </c>
      <c r="T1786" s="225" t="str">
        <f ca="1">IF(B1786="","",IF(ISERROR(MATCH($J1786,SorP!$B$1:$B$6230,0)),"",INDIRECT("'SorP'!$A$"&amp;MATCH($J1786,SorP!$B$1:$B$6230,0))))</f>
        <v/>
      </c>
      <c r="U1786" s="241"/>
      <c r="V1786" s="275" t="e">
        <f>IF(C1786="",NA(),MATCH($B1786&amp;$C1786,'Smelter Look-up'!$J:$J,0))</f>
        <v>#N/A</v>
      </c>
      <c r="W1786" s="276"/>
      <c r="X1786" s="276">
        <f t="shared" ca="1" si="250"/>
        <v>0</v>
      </c>
      <c r="Y1786" s="276"/>
      <c r="Z1786" s="276"/>
      <c r="AB1786" s="278" t="str">
        <f t="shared" si="251"/>
        <v/>
      </c>
    </row>
    <row r="1787" spans="1:28" s="277" customFormat="1" ht="20.25">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ref="S1787" ca="1" si="252">IF(B1787="","",IF(ISERROR(MATCH($E1787,CL,0)),"Unknown",INDIRECT("'C'!$A$"&amp;MATCH($E1787,CL,0)+1)))</f>
        <v/>
      </c>
      <c r="T1787" s="225" t="str">
        <f ca="1">IF(B1787="","",IF(ISERROR(MATCH($J1787,SorP!$B$1:$B$6230,0)),"",INDIRECT("'SorP'!$A$"&amp;MATCH($J1787,SorP!$B$1:$B$6230,0))))</f>
        <v/>
      </c>
      <c r="U1787" s="241"/>
      <c r="V1787" s="275" t="e">
        <f>IF(C1787="",NA(),MATCH($B1787&amp;$C1787,'Smelter Look-up'!$J:$J,0))</f>
        <v>#N/A</v>
      </c>
      <c r="W1787" s="276"/>
      <c r="X1787" s="276">
        <f t="shared" ref="X1787" ca="1" si="253">IF(AND(C1787="Smelter not listed",OR(LEN(D1787)=0,LEN(E1787)=0)),1,0)</f>
        <v>0</v>
      </c>
      <c r="Y1787" s="276"/>
      <c r="Z1787" s="276"/>
      <c r="AB1787" s="278" t="str">
        <f t="shared" ref="AB1787" si="254">B1787&amp;C1787</f>
        <v/>
      </c>
    </row>
    <row r="1788" spans="1:28" s="277" customFormat="1" ht="20.25">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ref="S1788:S1819" ca="1" si="255">IF(B1788="","",IF(ISERROR(MATCH($E1788,CL,0)),"Unknown",INDIRECT("'C'!$A$"&amp;MATCH($E1788,CL,0)+1)))</f>
        <v/>
      </c>
      <c r="T1788" s="225" t="str">
        <f ca="1">IF(B1788="","",IF(ISERROR(MATCH($J1788,SorP!$B$1:$B$6230,0)),"",INDIRECT("'SorP'!$A$"&amp;MATCH($J1788,SorP!$B$1:$B$6230,0))))</f>
        <v/>
      </c>
      <c r="U1788" s="241"/>
      <c r="V1788" s="275" t="e">
        <f>IF(C1788="",NA(),MATCH($B1788&amp;$C1788,'Smelter Look-up'!$J:$J,0))</f>
        <v>#N/A</v>
      </c>
      <c r="W1788" s="276"/>
      <c r="X1788" s="276">
        <f t="shared" ref="X1788:X1819" ca="1" si="256">IF(AND(C1788="Smelter not listed",OR(LEN(D1788)=0,LEN(E1788)=0)),1,0)</f>
        <v>0</v>
      </c>
      <c r="Y1788" s="276"/>
      <c r="Z1788" s="276"/>
      <c r="AB1788" s="278" t="str">
        <f t="shared" ref="AB1788:AB1819" si="257">B1788&amp;C1788</f>
        <v/>
      </c>
    </row>
    <row r="1789" spans="1:28" s="277" customFormat="1" ht="20.25">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55"/>
        <v/>
      </c>
      <c r="T1789" s="225" t="str">
        <f ca="1">IF(B1789="","",IF(ISERROR(MATCH($J1789,SorP!$B$1:$B$6230,0)),"",INDIRECT("'SorP'!$A$"&amp;MATCH($J1789,SorP!$B$1:$B$6230,0))))</f>
        <v/>
      </c>
      <c r="U1789" s="241"/>
      <c r="V1789" s="275" t="e">
        <f>IF(C1789="",NA(),MATCH($B1789&amp;$C1789,'Smelter Look-up'!$J:$J,0))</f>
        <v>#N/A</v>
      </c>
      <c r="W1789" s="276"/>
      <c r="X1789" s="276">
        <f t="shared" ca="1" si="256"/>
        <v>0</v>
      </c>
      <c r="Y1789" s="276"/>
      <c r="Z1789" s="276"/>
      <c r="AB1789" s="278" t="str">
        <f t="shared" si="257"/>
        <v/>
      </c>
    </row>
    <row r="1790" spans="1:28" s="277" customFormat="1" ht="20.25">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55"/>
        <v/>
      </c>
      <c r="T1790" s="225" t="str">
        <f ca="1">IF(B1790="","",IF(ISERROR(MATCH($J1790,SorP!$B$1:$B$6230,0)),"",INDIRECT("'SorP'!$A$"&amp;MATCH($J1790,SorP!$B$1:$B$6230,0))))</f>
        <v/>
      </c>
      <c r="U1790" s="241"/>
      <c r="V1790" s="275" t="e">
        <f>IF(C1790="",NA(),MATCH($B1790&amp;$C1790,'Smelter Look-up'!$J:$J,0))</f>
        <v>#N/A</v>
      </c>
      <c r="W1790" s="276"/>
      <c r="X1790" s="276">
        <f t="shared" ca="1" si="256"/>
        <v>0</v>
      </c>
      <c r="Y1790" s="276"/>
      <c r="Z1790" s="276"/>
      <c r="AB1790" s="278" t="str">
        <f t="shared" si="257"/>
        <v/>
      </c>
    </row>
    <row r="1791" spans="1:28" s="277" customFormat="1" ht="20.25">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55"/>
        <v/>
      </c>
      <c r="T1791" s="225" t="str">
        <f ca="1">IF(B1791="","",IF(ISERROR(MATCH($J1791,SorP!$B$1:$B$6230,0)),"",INDIRECT("'SorP'!$A$"&amp;MATCH($J1791,SorP!$B$1:$B$6230,0))))</f>
        <v/>
      </c>
      <c r="U1791" s="241"/>
      <c r="V1791" s="275" t="e">
        <f>IF(C1791="",NA(),MATCH($B1791&amp;$C1791,'Smelter Look-up'!$J:$J,0))</f>
        <v>#N/A</v>
      </c>
      <c r="W1791" s="276"/>
      <c r="X1791" s="276">
        <f t="shared" ca="1" si="256"/>
        <v>0</v>
      </c>
      <c r="Y1791" s="276"/>
      <c r="Z1791" s="276"/>
      <c r="AB1791" s="278" t="str">
        <f t="shared" si="257"/>
        <v/>
      </c>
    </row>
    <row r="1792" spans="1:28" s="277" customFormat="1" ht="20.25">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55"/>
        <v/>
      </c>
      <c r="T1792" s="225" t="str">
        <f ca="1">IF(B1792="","",IF(ISERROR(MATCH($J1792,SorP!$B$1:$B$6230,0)),"",INDIRECT("'SorP'!$A$"&amp;MATCH($J1792,SorP!$B$1:$B$6230,0))))</f>
        <v/>
      </c>
      <c r="U1792" s="241"/>
      <c r="V1792" s="275" t="e">
        <f>IF(C1792="",NA(),MATCH($B1792&amp;$C1792,'Smelter Look-up'!$J:$J,0))</f>
        <v>#N/A</v>
      </c>
      <c r="W1792" s="276"/>
      <c r="X1792" s="276">
        <f t="shared" ca="1" si="256"/>
        <v>0</v>
      </c>
      <c r="Y1792" s="276"/>
      <c r="Z1792" s="276"/>
      <c r="AB1792" s="278" t="str">
        <f t="shared" si="257"/>
        <v/>
      </c>
    </row>
    <row r="1793" spans="1:28" s="277" customFormat="1" ht="20.25">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55"/>
        <v/>
      </c>
      <c r="T1793" s="225" t="str">
        <f ca="1">IF(B1793="","",IF(ISERROR(MATCH($J1793,SorP!$B$1:$B$6230,0)),"",INDIRECT("'SorP'!$A$"&amp;MATCH($J1793,SorP!$B$1:$B$6230,0))))</f>
        <v/>
      </c>
      <c r="U1793" s="241"/>
      <c r="V1793" s="275" t="e">
        <f>IF(C1793="",NA(),MATCH($B1793&amp;$C1793,'Smelter Look-up'!$J:$J,0))</f>
        <v>#N/A</v>
      </c>
      <c r="W1793" s="276"/>
      <c r="X1793" s="276">
        <f t="shared" ca="1" si="256"/>
        <v>0</v>
      </c>
      <c r="Y1793" s="276"/>
      <c r="Z1793" s="276"/>
      <c r="AB1793" s="278" t="str">
        <f t="shared" si="257"/>
        <v/>
      </c>
    </row>
    <row r="1794" spans="1:28" s="277" customFormat="1" ht="20.25">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55"/>
        <v/>
      </c>
      <c r="T1794" s="225" t="str">
        <f ca="1">IF(B1794="","",IF(ISERROR(MATCH($J1794,SorP!$B$1:$B$6230,0)),"",INDIRECT("'SorP'!$A$"&amp;MATCH($J1794,SorP!$B$1:$B$6230,0))))</f>
        <v/>
      </c>
      <c r="U1794" s="241"/>
      <c r="V1794" s="275" t="e">
        <f>IF(C1794="",NA(),MATCH($B1794&amp;$C1794,'Smelter Look-up'!$J:$J,0))</f>
        <v>#N/A</v>
      </c>
      <c r="W1794" s="276"/>
      <c r="X1794" s="276">
        <f t="shared" ca="1" si="256"/>
        <v>0</v>
      </c>
      <c r="Y1794" s="276"/>
      <c r="Z1794" s="276"/>
      <c r="AB1794" s="278" t="str">
        <f t="shared" si="257"/>
        <v/>
      </c>
    </row>
    <row r="1795" spans="1:28" s="277" customFormat="1" ht="20.25">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55"/>
        <v/>
      </c>
      <c r="T1795" s="225" t="str">
        <f ca="1">IF(B1795="","",IF(ISERROR(MATCH($J1795,SorP!$B$1:$B$6230,0)),"",INDIRECT("'SorP'!$A$"&amp;MATCH($J1795,SorP!$B$1:$B$6230,0))))</f>
        <v/>
      </c>
      <c r="U1795" s="241"/>
      <c r="V1795" s="275" t="e">
        <f>IF(C1795="",NA(),MATCH($B1795&amp;$C1795,'Smelter Look-up'!$J:$J,0))</f>
        <v>#N/A</v>
      </c>
      <c r="W1795" s="276"/>
      <c r="X1795" s="276">
        <f t="shared" ca="1" si="256"/>
        <v>0</v>
      </c>
      <c r="Y1795" s="276"/>
      <c r="Z1795" s="276"/>
      <c r="AB1795" s="278" t="str">
        <f t="shared" si="257"/>
        <v/>
      </c>
    </row>
    <row r="1796" spans="1:28" s="277" customFormat="1" ht="20.25">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55"/>
        <v/>
      </c>
      <c r="T1796" s="225" t="str">
        <f ca="1">IF(B1796="","",IF(ISERROR(MATCH($J1796,SorP!$B$1:$B$6230,0)),"",INDIRECT("'SorP'!$A$"&amp;MATCH($J1796,SorP!$B$1:$B$6230,0))))</f>
        <v/>
      </c>
      <c r="U1796" s="241"/>
      <c r="V1796" s="275" t="e">
        <f>IF(C1796="",NA(),MATCH($B1796&amp;$C1796,'Smelter Look-up'!$J:$J,0))</f>
        <v>#N/A</v>
      </c>
      <c r="W1796" s="276"/>
      <c r="X1796" s="276">
        <f t="shared" ca="1" si="256"/>
        <v>0</v>
      </c>
      <c r="Y1796" s="276"/>
      <c r="Z1796" s="276"/>
      <c r="AB1796" s="278" t="str">
        <f t="shared" si="257"/>
        <v/>
      </c>
    </row>
    <row r="1797" spans="1:28" s="277" customFormat="1" ht="20.25">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55"/>
        <v/>
      </c>
      <c r="T1797" s="225" t="str">
        <f ca="1">IF(B1797="","",IF(ISERROR(MATCH($J1797,SorP!$B$1:$B$6230,0)),"",INDIRECT("'SorP'!$A$"&amp;MATCH($J1797,SorP!$B$1:$B$6230,0))))</f>
        <v/>
      </c>
      <c r="U1797" s="241"/>
      <c r="V1797" s="275" t="e">
        <f>IF(C1797="",NA(),MATCH($B1797&amp;$C1797,'Smelter Look-up'!$J:$J,0))</f>
        <v>#N/A</v>
      </c>
      <c r="W1797" s="276"/>
      <c r="X1797" s="276">
        <f t="shared" ca="1" si="256"/>
        <v>0</v>
      </c>
      <c r="Y1797" s="276"/>
      <c r="Z1797" s="276"/>
      <c r="AB1797" s="278" t="str">
        <f t="shared" si="257"/>
        <v/>
      </c>
    </row>
    <row r="1798" spans="1:28" s="277" customFormat="1" ht="20.25">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55"/>
        <v/>
      </c>
      <c r="T1798" s="225" t="str">
        <f ca="1">IF(B1798="","",IF(ISERROR(MATCH($J1798,SorP!$B$1:$B$6230,0)),"",INDIRECT("'SorP'!$A$"&amp;MATCH($J1798,SorP!$B$1:$B$6230,0))))</f>
        <v/>
      </c>
      <c r="U1798" s="241"/>
      <c r="V1798" s="275" t="e">
        <f>IF(C1798="",NA(),MATCH($B1798&amp;$C1798,'Smelter Look-up'!$J:$J,0))</f>
        <v>#N/A</v>
      </c>
      <c r="W1798" s="276"/>
      <c r="X1798" s="276">
        <f t="shared" ca="1" si="256"/>
        <v>0</v>
      </c>
      <c r="Y1798" s="276"/>
      <c r="Z1798" s="276"/>
      <c r="AB1798" s="278" t="str">
        <f t="shared" si="257"/>
        <v/>
      </c>
    </row>
    <row r="1799" spans="1:28" s="277" customFormat="1" ht="20.25">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55"/>
        <v/>
      </c>
      <c r="T1799" s="225" t="str">
        <f ca="1">IF(B1799="","",IF(ISERROR(MATCH($J1799,SorP!$B$1:$B$6230,0)),"",INDIRECT("'SorP'!$A$"&amp;MATCH($J1799,SorP!$B$1:$B$6230,0))))</f>
        <v/>
      </c>
      <c r="U1799" s="241"/>
      <c r="V1799" s="275" t="e">
        <f>IF(C1799="",NA(),MATCH($B1799&amp;$C1799,'Smelter Look-up'!$J:$J,0))</f>
        <v>#N/A</v>
      </c>
      <c r="W1799" s="276"/>
      <c r="X1799" s="276">
        <f t="shared" ca="1" si="256"/>
        <v>0</v>
      </c>
      <c r="Y1799" s="276"/>
      <c r="Z1799" s="276"/>
      <c r="AB1799" s="278" t="str">
        <f t="shared" si="257"/>
        <v/>
      </c>
    </row>
    <row r="1800" spans="1:28" s="277" customFormat="1" ht="20.25">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55"/>
        <v/>
      </c>
      <c r="T1800" s="225" t="str">
        <f ca="1">IF(B1800="","",IF(ISERROR(MATCH($J1800,SorP!$B$1:$B$6230,0)),"",INDIRECT("'SorP'!$A$"&amp;MATCH($J1800,SorP!$B$1:$B$6230,0))))</f>
        <v/>
      </c>
      <c r="U1800" s="241"/>
      <c r="V1800" s="275" t="e">
        <f>IF(C1800="",NA(),MATCH($B1800&amp;$C1800,'Smelter Look-up'!$J:$J,0))</f>
        <v>#N/A</v>
      </c>
      <c r="W1800" s="276"/>
      <c r="X1800" s="276">
        <f t="shared" ca="1" si="256"/>
        <v>0</v>
      </c>
      <c r="Y1800" s="276"/>
      <c r="Z1800" s="276"/>
      <c r="AB1800" s="278" t="str">
        <f t="shared" si="257"/>
        <v/>
      </c>
    </row>
    <row r="1801" spans="1:28" s="277" customFormat="1" ht="20.25">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55"/>
        <v/>
      </c>
      <c r="T1801" s="225" t="str">
        <f ca="1">IF(B1801="","",IF(ISERROR(MATCH($J1801,SorP!$B$1:$B$6230,0)),"",INDIRECT("'SorP'!$A$"&amp;MATCH($J1801,SorP!$B$1:$B$6230,0))))</f>
        <v/>
      </c>
      <c r="U1801" s="241"/>
      <c r="V1801" s="275" t="e">
        <f>IF(C1801="",NA(),MATCH($B1801&amp;$C1801,'Smelter Look-up'!$J:$J,0))</f>
        <v>#N/A</v>
      </c>
      <c r="W1801" s="276"/>
      <c r="X1801" s="276">
        <f t="shared" ca="1" si="256"/>
        <v>0</v>
      </c>
      <c r="Y1801" s="276"/>
      <c r="Z1801" s="276"/>
      <c r="AB1801" s="278" t="str">
        <f t="shared" si="257"/>
        <v/>
      </c>
    </row>
    <row r="1802" spans="1:28" s="277" customFormat="1" ht="20.25">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55"/>
        <v/>
      </c>
      <c r="T1802" s="225" t="str">
        <f ca="1">IF(B1802="","",IF(ISERROR(MATCH($J1802,SorP!$B$1:$B$6230,0)),"",INDIRECT("'SorP'!$A$"&amp;MATCH($J1802,SorP!$B$1:$B$6230,0))))</f>
        <v/>
      </c>
      <c r="U1802" s="241"/>
      <c r="V1802" s="275" t="e">
        <f>IF(C1802="",NA(),MATCH($B1802&amp;$C1802,'Smelter Look-up'!$J:$J,0))</f>
        <v>#N/A</v>
      </c>
      <c r="W1802" s="276"/>
      <c r="X1802" s="276">
        <f t="shared" ca="1" si="256"/>
        <v>0</v>
      </c>
      <c r="Y1802" s="276"/>
      <c r="Z1802" s="276"/>
      <c r="AB1802" s="278" t="str">
        <f t="shared" si="257"/>
        <v/>
      </c>
    </row>
    <row r="1803" spans="1:28" s="277" customFormat="1" ht="20.25">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55"/>
        <v/>
      </c>
      <c r="T1803" s="225" t="str">
        <f ca="1">IF(B1803="","",IF(ISERROR(MATCH($J1803,SorP!$B$1:$B$6230,0)),"",INDIRECT("'SorP'!$A$"&amp;MATCH($J1803,SorP!$B$1:$B$6230,0))))</f>
        <v/>
      </c>
      <c r="U1803" s="241"/>
      <c r="V1803" s="275" t="e">
        <f>IF(C1803="",NA(),MATCH($B1803&amp;$C1803,'Smelter Look-up'!$J:$J,0))</f>
        <v>#N/A</v>
      </c>
      <c r="W1803" s="276"/>
      <c r="X1803" s="276">
        <f t="shared" ca="1" si="256"/>
        <v>0</v>
      </c>
      <c r="Y1803" s="276"/>
      <c r="Z1803" s="276"/>
      <c r="AB1803" s="278" t="str">
        <f t="shared" si="257"/>
        <v/>
      </c>
    </row>
    <row r="1804" spans="1:28" s="277" customFormat="1" ht="20.25">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55"/>
        <v/>
      </c>
      <c r="T1804" s="225" t="str">
        <f ca="1">IF(B1804="","",IF(ISERROR(MATCH($J1804,SorP!$B$1:$B$6230,0)),"",INDIRECT("'SorP'!$A$"&amp;MATCH($J1804,SorP!$B$1:$B$6230,0))))</f>
        <v/>
      </c>
      <c r="U1804" s="241"/>
      <c r="V1804" s="275" t="e">
        <f>IF(C1804="",NA(),MATCH($B1804&amp;$C1804,'Smelter Look-up'!$J:$J,0))</f>
        <v>#N/A</v>
      </c>
      <c r="W1804" s="276"/>
      <c r="X1804" s="276">
        <f t="shared" ca="1" si="256"/>
        <v>0</v>
      </c>
      <c r="Y1804" s="276"/>
      <c r="Z1804" s="276"/>
      <c r="AB1804" s="278" t="str">
        <f t="shared" si="257"/>
        <v/>
      </c>
    </row>
    <row r="1805" spans="1:28" s="277" customFormat="1" ht="20.25">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55"/>
        <v/>
      </c>
      <c r="T1805" s="225" t="str">
        <f ca="1">IF(B1805="","",IF(ISERROR(MATCH($J1805,SorP!$B$1:$B$6230,0)),"",INDIRECT("'SorP'!$A$"&amp;MATCH($J1805,SorP!$B$1:$B$6230,0))))</f>
        <v/>
      </c>
      <c r="U1805" s="241"/>
      <c r="V1805" s="275" t="e">
        <f>IF(C1805="",NA(),MATCH($B1805&amp;$C1805,'Smelter Look-up'!$J:$J,0))</f>
        <v>#N/A</v>
      </c>
      <c r="W1805" s="276"/>
      <c r="X1805" s="276">
        <f t="shared" ca="1" si="256"/>
        <v>0</v>
      </c>
      <c r="Y1805" s="276"/>
      <c r="Z1805" s="276"/>
      <c r="AB1805" s="278" t="str">
        <f t="shared" si="257"/>
        <v/>
      </c>
    </row>
    <row r="1806" spans="1:28" s="277" customFormat="1" ht="20.25">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55"/>
        <v/>
      </c>
      <c r="T1806" s="225" t="str">
        <f ca="1">IF(B1806="","",IF(ISERROR(MATCH($J1806,SorP!$B$1:$B$6230,0)),"",INDIRECT("'SorP'!$A$"&amp;MATCH($J1806,SorP!$B$1:$B$6230,0))))</f>
        <v/>
      </c>
      <c r="U1806" s="241"/>
      <c r="V1806" s="275" t="e">
        <f>IF(C1806="",NA(),MATCH($B1806&amp;$C1806,'Smelter Look-up'!$J:$J,0))</f>
        <v>#N/A</v>
      </c>
      <c r="W1806" s="276"/>
      <c r="X1806" s="276">
        <f t="shared" ca="1" si="256"/>
        <v>0</v>
      </c>
      <c r="Y1806" s="276"/>
      <c r="Z1806" s="276"/>
      <c r="AB1806" s="278" t="str">
        <f t="shared" si="257"/>
        <v/>
      </c>
    </row>
    <row r="1807" spans="1:28" s="277" customFormat="1" ht="20.25">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55"/>
        <v/>
      </c>
      <c r="T1807" s="225" t="str">
        <f ca="1">IF(B1807="","",IF(ISERROR(MATCH($J1807,SorP!$B$1:$B$6230,0)),"",INDIRECT("'SorP'!$A$"&amp;MATCH($J1807,SorP!$B$1:$B$6230,0))))</f>
        <v/>
      </c>
      <c r="U1807" s="241"/>
      <c r="V1807" s="275" t="e">
        <f>IF(C1807="",NA(),MATCH($B1807&amp;$C1807,'Smelter Look-up'!$J:$J,0))</f>
        <v>#N/A</v>
      </c>
      <c r="W1807" s="276"/>
      <c r="X1807" s="276">
        <f t="shared" ca="1" si="256"/>
        <v>0</v>
      </c>
      <c r="Y1807" s="276"/>
      <c r="Z1807" s="276"/>
      <c r="AB1807" s="278" t="str">
        <f t="shared" si="257"/>
        <v/>
      </c>
    </row>
    <row r="1808" spans="1:28" s="277" customFormat="1" ht="20.25">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255"/>
        <v/>
      </c>
      <c r="T1808" s="225" t="str">
        <f ca="1">IF(B1808="","",IF(ISERROR(MATCH($J1808,SorP!$B$1:$B$6230,0)),"",INDIRECT("'SorP'!$A$"&amp;MATCH($J1808,SorP!$B$1:$B$6230,0))))</f>
        <v/>
      </c>
      <c r="U1808" s="241"/>
      <c r="V1808" s="275" t="e">
        <f>IF(C1808="",NA(),MATCH($B1808&amp;$C1808,'Smelter Look-up'!$J:$J,0))</f>
        <v>#N/A</v>
      </c>
      <c r="W1808" s="276"/>
      <c r="X1808" s="276">
        <f t="shared" ca="1" si="256"/>
        <v>0</v>
      </c>
      <c r="Y1808" s="276"/>
      <c r="Z1808" s="276"/>
      <c r="AB1808" s="278" t="str">
        <f t="shared" si="257"/>
        <v/>
      </c>
    </row>
    <row r="1809" spans="1:28" s="277" customFormat="1" ht="20.25">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55"/>
        <v/>
      </c>
      <c r="T1809" s="225" t="str">
        <f ca="1">IF(B1809="","",IF(ISERROR(MATCH($J1809,SorP!$B$1:$B$6230,0)),"",INDIRECT("'SorP'!$A$"&amp;MATCH($J1809,SorP!$B$1:$B$6230,0))))</f>
        <v/>
      </c>
      <c r="U1809" s="241"/>
      <c r="V1809" s="275" t="e">
        <f>IF(C1809="",NA(),MATCH($B1809&amp;$C1809,'Smelter Look-up'!$J:$J,0))</f>
        <v>#N/A</v>
      </c>
      <c r="W1809" s="276"/>
      <c r="X1809" s="276">
        <f t="shared" ca="1" si="256"/>
        <v>0</v>
      </c>
      <c r="Y1809" s="276"/>
      <c r="Z1809" s="276"/>
      <c r="AB1809" s="278" t="str">
        <f t="shared" si="257"/>
        <v/>
      </c>
    </row>
    <row r="1810" spans="1:28" s="277" customFormat="1" ht="20.25">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255"/>
        <v/>
      </c>
      <c r="T1810" s="225" t="str">
        <f ca="1">IF(B1810="","",IF(ISERROR(MATCH($J1810,SorP!$B$1:$B$6230,0)),"",INDIRECT("'SorP'!$A$"&amp;MATCH($J1810,SorP!$B$1:$B$6230,0))))</f>
        <v/>
      </c>
      <c r="U1810" s="241"/>
      <c r="V1810" s="275" t="e">
        <f>IF(C1810="",NA(),MATCH($B1810&amp;$C1810,'Smelter Look-up'!$J:$J,0))</f>
        <v>#N/A</v>
      </c>
      <c r="W1810" s="276"/>
      <c r="X1810" s="276">
        <f t="shared" ca="1" si="256"/>
        <v>0</v>
      </c>
      <c r="Y1810" s="276"/>
      <c r="Z1810" s="276"/>
      <c r="AB1810" s="278" t="str">
        <f t="shared" si="257"/>
        <v/>
      </c>
    </row>
    <row r="1811" spans="1:28" s="277" customFormat="1" ht="20.25">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55"/>
        <v/>
      </c>
      <c r="T1811" s="225" t="str">
        <f ca="1">IF(B1811="","",IF(ISERROR(MATCH($J1811,SorP!$B$1:$B$6230,0)),"",INDIRECT("'SorP'!$A$"&amp;MATCH($J1811,SorP!$B$1:$B$6230,0))))</f>
        <v/>
      </c>
      <c r="U1811" s="241"/>
      <c r="V1811" s="275" t="e">
        <f>IF(C1811="",NA(),MATCH($B1811&amp;$C1811,'Smelter Look-up'!$J:$J,0))</f>
        <v>#N/A</v>
      </c>
      <c r="W1811" s="276"/>
      <c r="X1811" s="276">
        <f t="shared" ca="1" si="256"/>
        <v>0</v>
      </c>
      <c r="Y1811" s="276"/>
      <c r="Z1811" s="276"/>
      <c r="AB1811" s="278" t="str">
        <f t="shared" si="257"/>
        <v/>
      </c>
    </row>
    <row r="1812" spans="1:28" s="277" customFormat="1" ht="20.25">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55"/>
        <v/>
      </c>
      <c r="T1812" s="225" t="str">
        <f ca="1">IF(B1812="","",IF(ISERROR(MATCH($J1812,SorP!$B$1:$B$6230,0)),"",INDIRECT("'SorP'!$A$"&amp;MATCH($J1812,SorP!$B$1:$B$6230,0))))</f>
        <v/>
      </c>
      <c r="U1812" s="241"/>
      <c r="V1812" s="275" t="e">
        <f>IF(C1812="",NA(),MATCH($B1812&amp;$C1812,'Smelter Look-up'!$J:$J,0))</f>
        <v>#N/A</v>
      </c>
      <c r="W1812" s="276"/>
      <c r="X1812" s="276">
        <f t="shared" ca="1" si="256"/>
        <v>0</v>
      </c>
      <c r="Y1812" s="276"/>
      <c r="Z1812" s="276"/>
      <c r="AB1812" s="278" t="str">
        <f t="shared" si="257"/>
        <v/>
      </c>
    </row>
    <row r="1813" spans="1:28" s="277" customFormat="1" ht="20.25">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55"/>
        <v/>
      </c>
      <c r="T1813" s="225" t="str">
        <f ca="1">IF(B1813="","",IF(ISERROR(MATCH($J1813,SorP!$B$1:$B$6230,0)),"",INDIRECT("'SorP'!$A$"&amp;MATCH($J1813,SorP!$B$1:$B$6230,0))))</f>
        <v/>
      </c>
      <c r="U1813" s="241"/>
      <c r="V1813" s="275" t="e">
        <f>IF(C1813="",NA(),MATCH($B1813&amp;$C1813,'Smelter Look-up'!$J:$J,0))</f>
        <v>#N/A</v>
      </c>
      <c r="W1813" s="276"/>
      <c r="X1813" s="276">
        <f t="shared" ca="1" si="256"/>
        <v>0</v>
      </c>
      <c r="Y1813" s="276"/>
      <c r="Z1813" s="276"/>
      <c r="AB1813" s="278" t="str">
        <f t="shared" si="257"/>
        <v/>
      </c>
    </row>
    <row r="1814" spans="1:28" s="277" customFormat="1" ht="20.25">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55"/>
        <v/>
      </c>
      <c r="T1814" s="225" t="str">
        <f ca="1">IF(B1814="","",IF(ISERROR(MATCH($J1814,SorP!$B$1:$B$6230,0)),"",INDIRECT("'SorP'!$A$"&amp;MATCH($J1814,SorP!$B$1:$B$6230,0))))</f>
        <v/>
      </c>
      <c r="U1814" s="241"/>
      <c r="V1814" s="275" t="e">
        <f>IF(C1814="",NA(),MATCH($B1814&amp;$C1814,'Smelter Look-up'!$J:$J,0))</f>
        <v>#N/A</v>
      </c>
      <c r="W1814" s="276"/>
      <c r="X1814" s="276">
        <f t="shared" ca="1" si="256"/>
        <v>0</v>
      </c>
      <c r="Y1814" s="276"/>
      <c r="Z1814" s="276"/>
      <c r="AB1814" s="278" t="str">
        <f t="shared" si="257"/>
        <v/>
      </c>
    </row>
    <row r="1815" spans="1:28" s="277" customFormat="1" ht="20.25">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55"/>
        <v/>
      </c>
      <c r="T1815" s="225" t="str">
        <f ca="1">IF(B1815="","",IF(ISERROR(MATCH($J1815,SorP!$B$1:$B$6230,0)),"",INDIRECT("'SorP'!$A$"&amp;MATCH($J1815,SorP!$B$1:$B$6230,0))))</f>
        <v/>
      </c>
      <c r="U1815" s="241"/>
      <c r="V1815" s="275" t="e">
        <f>IF(C1815="",NA(),MATCH($B1815&amp;$C1815,'Smelter Look-up'!$J:$J,0))</f>
        <v>#N/A</v>
      </c>
      <c r="W1815" s="276"/>
      <c r="X1815" s="276">
        <f t="shared" ca="1" si="256"/>
        <v>0</v>
      </c>
      <c r="Y1815" s="276"/>
      <c r="Z1815" s="276"/>
      <c r="AB1815" s="278" t="str">
        <f t="shared" si="257"/>
        <v/>
      </c>
    </row>
    <row r="1816" spans="1:28" s="277" customFormat="1" ht="20.25">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55"/>
        <v/>
      </c>
      <c r="T1816" s="225" t="str">
        <f ca="1">IF(B1816="","",IF(ISERROR(MATCH($J1816,SorP!$B$1:$B$6230,0)),"",INDIRECT("'SorP'!$A$"&amp;MATCH($J1816,SorP!$B$1:$B$6230,0))))</f>
        <v/>
      </c>
      <c r="U1816" s="241"/>
      <c r="V1816" s="275" t="e">
        <f>IF(C1816="",NA(),MATCH($B1816&amp;$C1816,'Smelter Look-up'!$J:$J,0))</f>
        <v>#N/A</v>
      </c>
      <c r="W1816" s="276"/>
      <c r="X1816" s="276">
        <f t="shared" ca="1" si="256"/>
        <v>0</v>
      </c>
      <c r="Y1816" s="276"/>
      <c r="Z1816" s="276"/>
      <c r="AB1816" s="278" t="str">
        <f t="shared" si="257"/>
        <v/>
      </c>
    </row>
    <row r="1817" spans="1:28" s="277" customFormat="1" ht="20.25">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55"/>
        <v/>
      </c>
      <c r="T1817" s="225" t="str">
        <f ca="1">IF(B1817="","",IF(ISERROR(MATCH($J1817,SorP!$B$1:$B$6230,0)),"",INDIRECT("'SorP'!$A$"&amp;MATCH($J1817,SorP!$B$1:$B$6230,0))))</f>
        <v/>
      </c>
      <c r="U1817" s="241"/>
      <c r="V1817" s="275" t="e">
        <f>IF(C1817="",NA(),MATCH($B1817&amp;$C1817,'Smelter Look-up'!$J:$J,0))</f>
        <v>#N/A</v>
      </c>
      <c r="W1817" s="276"/>
      <c r="X1817" s="276">
        <f t="shared" ca="1" si="256"/>
        <v>0</v>
      </c>
      <c r="Y1817" s="276"/>
      <c r="Z1817" s="276"/>
      <c r="AB1817" s="278" t="str">
        <f t="shared" si="257"/>
        <v/>
      </c>
    </row>
    <row r="1818" spans="1:28" s="277" customFormat="1" ht="20.25">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55"/>
        <v/>
      </c>
      <c r="T1818" s="225" t="str">
        <f ca="1">IF(B1818="","",IF(ISERROR(MATCH($J1818,SorP!$B$1:$B$6230,0)),"",INDIRECT("'SorP'!$A$"&amp;MATCH($J1818,SorP!$B$1:$B$6230,0))))</f>
        <v/>
      </c>
      <c r="U1818" s="241"/>
      <c r="V1818" s="275" t="e">
        <f>IF(C1818="",NA(),MATCH($B1818&amp;$C1818,'Smelter Look-up'!$J:$J,0))</f>
        <v>#N/A</v>
      </c>
      <c r="W1818" s="276"/>
      <c r="X1818" s="276">
        <f t="shared" ca="1" si="256"/>
        <v>0</v>
      </c>
      <c r="Y1818" s="276"/>
      <c r="Z1818" s="276"/>
      <c r="AB1818" s="278" t="str">
        <f t="shared" si="257"/>
        <v/>
      </c>
    </row>
    <row r="1819" spans="1:28" s="277" customFormat="1" ht="20.25">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255"/>
        <v/>
      </c>
      <c r="T1819" s="225" t="str">
        <f ca="1">IF(B1819="","",IF(ISERROR(MATCH($J1819,SorP!$B$1:$B$6230,0)),"",INDIRECT("'SorP'!$A$"&amp;MATCH($J1819,SorP!$B$1:$B$6230,0))))</f>
        <v/>
      </c>
      <c r="U1819" s="241"/>
      <c r="V1819" s="275" t="e">
        <f>IF(C1819="",NA(),MATCH($B1819&amp;$C1819,'Smelter Look-up'!$J:$J,0))</f>
        <v>#N/A</v>
      </c>
      <c r="W1819" s="276"/>
      <c r="X1819" s="276">
        <f t="shared" ca="1" si="256"/>
        <v>0</v>
      </c>
      <c r="Y1819" s="276"/>
      <c r="Z1819" s="276"/>
      <c r="AB1819" s="278" t="str">
        <f t="shared" si="257"/>
        <v/>
      </c>
    </row>
    <row r="1820" spans="1:28" s="277" customFormat="1" ht="20.25">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ref="S1820:S1850" ca="1" si="258">IF(B1820="","",IF(ISERROR(MATCH($E1820,CL,0)),"Unknown",INDIRECT("'C'!$A$"&amp;MATCH($E1820,CL,0)+1)))</f>
        <v/>
      </c>
      <c r="T1820" s="225" t="str">
        <f ca="1">IF(B1820="","",IF(ISERROR(MATCH($J1820,SorP!$B$1:$B$6230,0)),"",INDIRECT("'SorP'!$A$"&amp;MATCH($J1820,SorP!$B$1:$B$6230,0))))</f>
        <v/>
      </c>
      <c r="U1820" s="241"/>
      <c r="V1820" s="275" t="e">
        <f>IF(C1820="",NA(),MATCH($B1820&amp;$C1820,'Smelter Look-up'!$J:$J,0))</f>
        <v>#N/A</v>
      </c>
      <c r="W1820" s="276"/>
      <c r="X1820" s="276">
        <f t="shared" ref="X1820:X1850" ca="1" si="259">IF(AND(C1820="Smelter not listed",OR(LEN(D1820)=0,LEN(E1820)=0)),1,0)</f>
        <v>0</v>
      </c>
      <c r="Y1820" s="276"/>
      <c r="Z1820" s="276"/>
      <c r="AB1820" s="278" t="str">
        <f t="shared" ref="AB1820:AB1850" si="260">B1820&amp;C1820</f>
        <v/>
      </c>
    </row>
    <row r="1821" spans="1:28" s="277" customFormat="1" ht="20.25">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58"/>
        <v/>
      </c>
      <c r="T1821" s="225" t="str">
        <f ca="1">IF(B1821="","",IF(ISERROR(MATCH($J1821,SorP!$B$1:$B$6230,0)),"",INDIRECT("'SorP'!$A$"&amp;MATCH($J1821,SorP!$B$1:$B$6230,0))))</f>
        <v/>
      </c>
      <c r="U1821" s="241"/>
      <c r="V1821" s="275" t="e">
        <f>IF(C1821="",NA(),MATCH($B1821&amp;$C1821,'Smelter Look-up'!$J:$J,0))</f>
        <v>#N/A</v>
      </c>
      <c r="W1821" s="276"/>
      <c r="X1821" s="276">
        <f t="shared" ca="1" si="259"/>
        <v>0</v>
      </c>
      <c r="Y1821" s="276"/>
      <c r="Z1821" s="276"/>
      <c r="AB1821" s="278" t="str">
        <f t="shared" si="260"/>
        <v/>
      </c>
    </row>
    <row r="1822" spans="1:28" s="277" customFormat="1" ht="20.25">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58"/>
        <v/>
      </c>
      <c r="T1822" s="225" t="str">
        <f ca="1">IF(B1822="","",IF(ISERROR(MATCH($J1822,SorP!$B$1:$B$6230,0)),"",INDIRECT("'SorP'!$A$"&amp;MATCH($J1822,SorP!$B$1:$B$6230,0))))</f>
        <v/>
      </c>
      <c r="U1822" s="241"/>
      <c r="V1822" s="275" t="e">
        <f>IF(C1822="",NA(),MATCH($B1822&amp;$C1822,'Smelter Look-up'!$J:$J,0))</f>
        <v>#N/A</v>
      </c>
      <c r="W1822" s="276"/>
      <c r="X1822" s="276">
        <f t="shared" ca="1" si="259"/>
        <v>0</v>
      </c>
      <c r="Y1822" s="276"/>
      <c r="Z1822" s="276"/>
      <c r="AB1822" s="278" t="str">
        <f t="shared" si="260"/>
        <v/>
      </c>
    </row>
    <row r="1823" spans="1:28" s="277" customFormat="1" ht="20.25">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58"/>
        <v/>
      </c>
      <c r="T1823" s="225" t="str">
        <f ca="1">IF(B1823="","",IF(ISERROR(MATCH($J1823,SorP!$B$1:$B$6230,0)),"",INDIRECT("'SorP'!$A$"&amp;MATCH($J1823,SorP!$B$1:$B$6230,0))))</f>
        <v/>
      </c>
      <c r="U1823" s="241"/>
      <c r="V1823" s="275" t="e">
        <f>IF(C1823="",NA(),MATCH($B1823&amp;$C1823,'Smelter Look-up'!$J:$J,0))</f>
        <v>#N/A</v>
      </c>
      <c r="W1823" s="276"/>
      <c r="X1823" s="276">
        <f t="shared" ca="1" si="259"/>
        <v>0</v>
      </c>
      <c r="Y1823" s="276"/>
      <c r="Z1823" s="276"/>
      <c r="AB1823" s="278" t="str">
        <f t="shared" si="260"/>
        <v/>
      </c>
    </row>
    <row r="1824" spans="1:28" s="277" customFormat="1" ht="20.25">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58"/>
        <v/>
      </c>
      <c r="T1824" s="225" t="str">
        <f ca="1">IF(B1824="","",IF(ISERROR(MATCH($J1824,SorP!$B$1:$B$6230,0)),"",INDIRECT("'SorP'!$A$"&amp;MATCH($J1824,SorP!$B$1:$B$6230,0))))</f>
        <v/>
      </c>
      <c r="U1824" s="241"/>
      <c r="V1824" s="275" t="e">
        <f>IF(C1824="",NA(),MATCH($B1824&amp;$C1824,'Smelter Look-up'!$J:$J,0))</f>
        <v>#N/A</v>
      </c>
      <c r="W1824" s="276"/>
      <c r="X1824" s="276">
        <f t="shared" ca="1" si="259"/>
        <v>0</v>
      </c>
      <c r="Y1824" s="276"/>
      <c r="Z1824" s="276"/>
      <c r="AB1824" s="278" t="str">
        <f t="shared" si="260"/>
        <v/>
      </c>
    </row>
    <row r="1825" spans="1:28" s="277" customFormat="1" ht="20.25">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58"/>
        <v/>
      </c>
      <c r="T1825" s="225" t="str">
        <f ca="1">IF(B1825="","",IF(ISERROR(MATCH($J1825,SorP!$B$1:$B$6230,0)),"",INDIRECT("'SorP'!$A$"&amp;MATCH($J1825,SorP!$B$1:$B$6230,0))))</f>
        <v/>
      </c>
      <c r="U1825" s="241"/>
      <c r="V1825" s="275" t="e">
        <f>IF(C1825="",NA(),MATCH($B1825&amp;$C1825,'Smelter Look-up'!$J:$J,0))</f>
        <v>#N/A</v>
      </c>
      <c r="W1825" s="276"/>
      <c r="X1825" s="276">
        <f t="shared" ca="1" si="259"/>
        <v>0</v>
      </c>
      <c r="Y1825" s="276"/>
      <c r="Z1825" s="276"/>
      <c r="AB1825" s="278" t="str">
        <f t="shared" si="260"/>
        <v/>
      </c>
    </row>
    <row r="1826" spans="1:28" s="277" customFormat="1" ht="20.25">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58"/>
        <v/>
      </c>
      <c r="T1826" s="225" t="str">
        <f ca="1">IF(B1826="","",IF(ISERROR(MATCH($J1826,SorP!$B$1:$B$6230,0)),"",INDIRECT("'SorP'!$A$"&amp;MATCH($J1826,SorP!$B$1:$B$6230,0))))</f>
        <v/>
      </c>
      <c r="U1826" s="241"/>
      <c r="V1826" s="275" t="e">
        <f>IF(C1826="",NA(),MATCH($B1826&amp;$C1826,'Smelter Look-up'!$J:$J,0))</f>
        <v>#N/A</v>
      </c>
      <c r="W1826" s="276"/>
      <c r="X1826" s="276">
        <f t="shared" ca="1" si="259"/>
        <v>0</v>
      </c>
      <c r="Y1826" s="276"/>
      <c r="Z1826" s="276"/>
      <c r="AB1826" s="278" t="str">
        <f t="shared" si="260"/>
        <v/>
      </c>
    </row>
    <row r="1827" spans="1:28" s="277" customFormat="1" ht="20.25">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58"/>
        <v/>
      </c>
      <c r="T1827" s="225" t="str">
        <f ca="1">IF(B1827="","",IF(ISERROR(MATCH($J1827,SorP!$B$1:$B$6230,0)),"",INDIRECT("'SorP'!$A$"&amp;MATCH($J1827,SorP!$B$1:$B$6230,0))))</f>
        <v/>
      </c>
      <c r="U1827" s="241"/>
      <c r="V1827" s="275" t="e">
        <f>IF(C1827="",NA(),MATCH($B1827&amp;$C1827,'Smelter Look-up'!$J:$J,0))</f>
        <v>#N/A</v>
      </c>
      <c r="W1827" s="276"/>
      <c r="X1827" s="276">
        <f t="shared" ca="1" si="259"/>
        <v>0</v>
      </c>
      <c r="Y1827" s="276"/>
      <c r="Z1827" s="276"/>
      <c r="AB1827" s="278" t="str">
        <f t="shared" si="260"/>
        <v/>
      </c>
    </row>
    <row r="1828" spans="1:28" s="277" customFormat="1" ht="20.25">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58"/>
        <v/>
      </c>
      <c r="T1828" s="225" t="str">
        <f ca="1">IF(B1828="","",IF(ISERROR(MATCH($J1828,SorP!$B$1:$B$6230,0)),"",INDIRECT("'SorP'!$A$"&amp;MATCH($J1828,SorP!$B$1:$B$6230,0))))</f>
        <v/>
      </c>
      <c r="U1828" s="241"/>
      <c r="V1828" s="275" t="e">
        <f>IF(C1828="",NA(),MATCH($B1828&amp;$C1828,'Smelter Look-up'!$J:$J,0))</f>
        <v>#N/A</v>
      </c>
      <c r="W1828" s="276"/>
      <c r="X1828" s="276">
        <f t="shared" ca="1" si="259"/>
        <v>0</v>
      </c>
      <c r="Y1828" s="276"/>
      <c r="Z1828" s="276"/>
      <c r="AB1828" s="278" t="str">
        <f t="shared" si="260"/>
        <v/>
      </c>
    </row>
    <row r="1829" spans="1:28" s="277" customFormat="1" ht="20.25">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58"/>
        <v/>
      </c>
      <c r="T1829" s="225" t="str">
        <f ca="1">IF(B1829="","",IF(ISERROR(MATCH($J1829,SorP!$B$1:$B$6230,0)),"",INDIRECT("'SorP'!$A$"&amp;MATCH($J1829,SorP!$B$1:$B$6230,0))))</f>
        <v/>
      </c>
      <c r="U1829" s="241"/>
      <c r="V1829" s="275" t="e">
        <f>IF(C1829="",NA(),MATCH($B1829&amp;$C1829,'Smelter Look-up'!$J:$J,0))</f>
        <v>#N/A</v>
      </c>
      <c r="W1829" s="276"/>
      <c r="X1829" s="276">
        <f t="shared" ca="1" si="259"/>
        <v>0</v>
      </c>
      <c r="Y1829" s="276"/>
      <c r="Z1829" s="276"/>
      <c r="AB1829" s="278" t="str">
        <f t="shared" si="260"/>
        <v/>
      </c>
    </row>
    <row r="1830" spans="1:28" s="277" customFormat="1" ht="20.25">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58"/>
        <v/>
      </c>
      <c r="T1830" s="225" t="str">
        <f ca="1">IF(B1830="","",IF(ISERROR(MATCH($J1830,SorP!$B$1:$B$6230,0)),"",INDIRECT("'SorP'!$A$"&amp;MATCH($J1830,SorP!$B$1:$B$6230,0))))</f>
        <v/>
      </c>
      <c r="U1830" s="241"/>
      <c r="V1830" s="275" t="e">
        <f>IF(C1830="",NA(),MATCH($B1830&amp;$C1830,'Smelter Look-up'!$J:$J,0))</f>
        <v>#N/A</v>
      </c>
      <c r="W1830" s="276"/>
      <c r="X1830" s="276">
        <f t="shared" ca="1" si="259"/>
        <v>0</v>
      </c>
      <c r="Y1830" s="276"/>
      <c r="Z1830" s="276"/>
      <c r="AB1830" s="278" t="str">
        <f t="shared" si="260"/>
        <v/>
      </c>
    </row>
    <row r="1831" spans="1:28" s="277" customFormat="1" ht="20.25">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58"/>
        <v/>
      </c>
      <c r="T1831" s="225" t="str">
        <f ca="1">IF(B1831="","",IF(ISERROR(MATCH($J1831,SorP!$B$1:$B$6230,0)),"",INDIRECT("'SorP'!$A$"&amp;MATCH($J1831,SorP!$B$1:$B$6230,0))))</f>
        <v/>
      </c>
      <c r="U1831" s="241"/>
      <c r="V1831" s="275" t="e">
        <f>IF(C1831="",NA(),MATCH($B1831&amp;$C1831,'Smelter Look-up'!$J:$J,0))</f>
        <v>#N/A</v>
      </c>
      <c r="W1831" s="276"/>
      <c r="X1831" s="276">
        <f t="shared" ca="1" si="259"/>
        <v>0</v>
      </c>
      <c r="Y1831" s="276"/>
      <c r="Z1831" s="276"/>
      <c r="AB1831" s="278" t="str">
        <f t="shared" si="260"/>
        <v/>
      </c>
    </row>
    <row r="1832" spans="1:28" s="277" customFormat="1" ht="20.25">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58"/>
        <v/>
      </c>
      <c r="T1832" s="225" t="str">
        <f ca="1">IF(B1832="","",IF(ISERROR(MATCH($J1832,SorP!$B$1:$B$6230,0)),"",INDIRECT("'SorP'!$A$"&amp;MATCH($J1832,SorP!$B$1:$B$6230,0))))</f>
        <v/>
      </c>
      <c r="U1832" s="241"/>
      <c r="V1832" s="275" t="e">
        <f>IF(C1832="",NA(),MATCH($B1832&amp;$C1832,'Smelter Look-up'!$J:$J,0))</f>
        <v>#N/A</v>
      </c>
      <c r="W1832" s="276"/>
      <c r="X1832" s="276">
        <f t="shared" ca="1" si="259"/>
        <v>0</v>
      </c>
      <c r="Y1832" s="276"/>
      <c r="Z1832" s="276"/>
      <c r="AB1832" s="278" t="str">
        <f t="shared" si="260"/>
        <v/>
      </c>
    </row>
    <row r="1833" spans="1:28" s="277" customFormat="1" ht="20.25">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58"/>
        <v/>
      </c>
      <c r="T1833" s="225" t="str">
        <f ca="1">IF(B1833="","",IF(ISERROR(MATCH($J1833,SorP!$B$1:$B$6230,0)),"",INDIRECT("'SorP'!$A$"&amp;MATCH($J1833,SorP!$B$1:$B$6230,0))))</f>
        <v/>
      </c>
      <c r="U1833" s="241"/>
      <c r="V1833" s="275" t="e">
        <f>IF(C1833="",NA(),MATCH($B1833&amp;$C1833,'Smelter Look-up'!$J:$J,0))</f>
        <v>#N/A</v>
      </c>
      <c r="W1833" s="276"/>
      <c r="X1833" s="276">
        <f t="shared" ca="1" si="259"/>
        <v>0</v>
      </c>
      <c r="Y1833" s="276"/>
      <c r="Z1833" s="276"/>
      <c r="AB1833" s="278" t="str">
        <f t="shared" si="260"/>
        <v/>
      </c>
    </row>
    <row r="1834" spans="1:28" s="277" customFormat="1" ht="20.25">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58"/>
        <v/>
      </c>
      <c r="T1834" s="225" t="str">
        <f ca="1">IF(B1834="","",IF(ISERROR(MATCH($J1834,SorP!$B$1:$B$6230,0)),"",INDIRECT("'SorP'!$A$"&amp;MATCH($J1834,SorP!$B$1:$B$6230,0))))</f>
        <v/>
      </c>
      <c r="U1834" s="241"/>
      <c r="V1834" s="275" t="e">
        <f>IF(C1834="",NA(),MATCH($B1834&amp;$C1834,'Smelter Look-up'!$J:$J,0))</f>
        <v>#N/A</v>
      </c>
      <c r="W1834" s="276"/>
      <c r="X1834" s="276">
        <f t="shared" ca="1" si="259"/>
        <v>0</v>
      </c>
      <c r="Y1834" s="276"/>
      <c r="Z1834" s="276"/>
      <c r="AB1834" s="278" t="str">
        <f t="shared" si="260"/>
        <v/>
      </c>
    </row>
    <row r="1835" spans="1:28" s="277" customFormat="1" ht="20.25">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58"/>
        <v/>
      </c>
      <c r="T1835" s="225" t="str">
        <f ca="1">IF(B1835="","",IF(ISERROR(MATCH($J1835,SorP!$B$1:$B$6230,0)),"",INDIRECT("'SorP'!$A$"&amp;MATCH($J1835,SorP!$B$1:$B$6230,0))))</f>
        <v/>
      </c>
      <c r="U1835" s="241"/>
      <c r="V1835" s="275" t="e">
        <f>IF(C1835="",NA(),MATCH($B1835&amp;$C1835,'Smelter Look-up'!$J:$J,0))</f>
        <v>#N/A</v>
      </c>
      <c r="W1835" s="276"/>
      <c r="X1835" s="276">
        <f t="shared" ca="1" si="259"/>
        <v>0</v>
      </c>
      <c r="Y1835" s="276"/>
      <c r="Z1835" s="276"/>
      <c r="AB1835" s="278" t="str">
        <f t="shared" si="260"/>
        <v/>
      </c>
    </row>
    <row r="1836" spans="1:28" s="277" customFormat="1" ht="20.25">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58"/>
        <v/>
      </c>
      <c r="T1836" s="225" t="str">
        <f ca="1">IF(B1836="","",IF(ISERROR(MATCH($J1836,SorP!$B$1:$B$6230,0)),"",INDIRECT("'SorP'!$A$"&amp;MATCH($J1836,SorP!$B$1:$B$6230,0))))</f>
        <v/>
      </c>
      <c r="U1836" s="241"/>
      <c r="V1836" s="275" t="e">
        <f>IF(C1836="",NA(),MATCH($B1836&amp;$C1836,'Smelter Look-up'!$J:$J,0))</f>
        <v>#N/A</v>
      </c>
      <c r="W1836" s="276"/>
      <c r="X1836" s="276">
        <f t="shared" ca="1" si="259"/>
        <v>0</v>
      </c>
      <c r="Y1836" s="276"/>
      <c r="Z1836" s="276"/>
      <c r="AB1836" s="278" t="str">
        <f t="shared" si="260"/>
        <v/>
      </c>
    </row>
    <row r="1837" spans="1:28" s="277" customFormat="1" ht="20.25">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58"/>
        <v/>
      </c>
      <c r="T1837" s="225" t="str">
        <f ca="1">IF(B1837="","",IF(ISERROR(MATCH($J1837,SorP!$B$1:$B$6230,0)),"",INDIRECT("'SorP'!$A$"&amp;MATCH($J1837,SorP!$B$1:$B$6230,0))))</f>
        <v/>
      </c>
      <c r="U1837" s="241"/>
      <c r="V1837" s="275" t="e">
        <f>IF(C1837="",NA(),MATCH($B1837&amp;$C1837,'Smelter Look-up'!$J:$J,0))</f>
        <v>#N/A</v>
      </c>
      <c r="W1837" s="276"/>
      <c r="X1837" s="276">
        <f t="shared" ca="1" si="259"/>
        <v>0</v>
      </c>
      <c r="Y1837" s="276"/>
      <c r="Z1837" s="276"/>
      <c r="AB1837" s="278" t="str">
        <f t="shared" si="260"/>
        <v/>
      </c>
    </row>
    <row r="1838" spans="1:28" s="277" customFormat="1" ht="20.25">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58"/>
        <v/>
      </c>
      <c r="T1838" s="225" t="str">
        <f ca="1">IF(B1838="","",IF(ISERROR(MATCH($J1838,SorP!$B$1:$B$6230,0)),"",INDIRECT("'SorP'!$A$"&amp;MATCH($J1838,SorP!$B$1:$B$6230,0))))</f>
        <v/>
      </c>
      <c r="U1838" s="241"/>
      <c r="V1838" s="275" t="e">
        <f>IF(C1838="",NA(),MATCH($B1838&amp;$C1838,'Smelter Look-up'!$J:$J,0))</f>
        <v>#N/A</v>
      </c>
      <c r="W1838" s="276"/>
      <c r="X1838" s="276">
        <f t="shared" ca="1" si="259"/>
        <v>0</v>
      </c>
      <c r="Y1838" s="276"/>
      <c r="Z1838" s="276"/>
      <c r="AB1838" s="278" t="str">
        <f t="shared" si="260"/>
        <v/>
      </c>
    </row>
    <row r="1839" spans="1:28" s="277" customFormat="1" ht="20.25">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258"/>
        <v/>
      </c>
      <c r="T1839" s="225" t="str">
        <f ca="1">IF(B1839="","",IF(ISERROR(MATCH($J1839,SorP!$B$1:$B$6230,0)),"",INDIRECT("'SorP'!$A$"&amp;MATCH($J1839,SorP!$B$1:$B$6230,0))))</f>
        <v/>
      </c>
      <c r="U1839" s="241"/>
      <c r="V1839" s="275" t="e">
        <f>IF(C1839="",NA(),MATCH($B1839&amp;$C1839,'Smelter Look-up'!$J:$J,0))</f>
        <v>#N/A</v>
      </c>
      <c r="W1839" s="276"/>
      <c r="X1839" s="276">
        <f t="shared" ca="1" si="259"/>
        <v>0</v>
      </c>
      <c r="Y1839" s="276"/>
      <c r="Z1839" s="276"/>
      <c r="AB1839" s="278" t="str">
        <f t="shared" si="260"/>
        <v/>
      </c>
    </row>
    <row r="1840" spans="1:28" s="277" customFormat="1" ht="20.25">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258"/>
        <v/>
      </c>
      <c r="T1840" s="225" t="str">
        <f ca="1">IF(B1840="","",IF(ISERROR(MATCH($J1840,SorP!$B$1:$B$6230,0)),"",INDIRECT("'SorP'!$A$"&amp;MATCH($J1840,SorP!$B$1:$B$6230,0))))</f>
        <v/>
      </c>
      <c r="U1840" s="241"/>
      <c r="V1840" s="275" t="e">
        <f>IF(C1840="",NA(),MATCH($B1840&amp;$C1840,'Smelter Look-up'!$J:$J,0))</f>
        <v>#N/A</v>
      </c>
      <c r="W1840" s="276"/>
      <c r="X1840" s="276">
        <f t="shared" ca="1" si="259"/>
        <v>0</v>
      </c>
      <c r="Y1840" s="276"/>
      <c r="Z1840" s="276"/>
      <c r="AB1840" s="278" t="str">
        <f t="shared" si="260"/>
        <v/>
      </c>
    </row>
    <row r="1841" spans="1:28" s="277" customFormat="1" ht="20.25">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258"/>
        <v/>
      </c>
      <c r="T1841" s="225" t="str">
        <f ca="1">IF(B1841="","",IF(ISERROR(MATCH($J1841,SorP!$B$1:$B$6230,0)),"",INDIRECT("'SorP'!$A$"&amp;MATCH($J1841,SorP!$B$1:$B$6230,0))))</f>
        <v/>
      </c>
      <c r="U1841" s="241"/>
      <c r="V1841" s="275" t="e">
        <f>IF(C1841="",NA(),MATCH($B1841&amp;$C1841,'Smelter Look-up'!$J:$J,0))</f>
        <v>#N/A</v>
      </c>
      <c r="W1841" s="276"/>
      <c r="X1841" s="276">
        <f t="shared" ca="1" si="259"/>
        <v>0</v>
      </c>
      <c r="Y1841" s="276"/>
      <c r="Z1841" s="276"/>
      <c r="AB1841" s="278" t="str">
        <f t="shared" si="260"/>
        <v/>
      </c>
    </row>
    <row r="1842" spans="1:28" s="277" customFormat="1" ht="20.25">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258"/>
        <v/>
      </c>
      <c r="T1842" s="225" t="str">
        <f ca="1">IF(B1842="","",IF(ISERROR(MATCH($J1842,SorP!$B$1:$B$6230,0)),"",INDIRECT("'SorP'!$A$"&amp;MATCH($J1842,SorP!$B$1:$B$6230,0))))</f>
        <v/>
      </c>
      <c r="U1842" s="241"/>
      <c r="V1842" s="275" t="e">
        <f>IF(C1842="",NA(),MATCH($B1842&amp;$C1842,'Smelter Look-up'!$J:$J,0))</f>
        <v>#N/A</v>
      </c>
      <c r="W1842" s="276"/>
      <c r="X1842" s="276">
        <f t="shared" ca="1" si="259"/>
        <v>0</v>
      </c>
      <c r="Y1842" s="276"/>
      <c r="Z1842" s="276"/>
      <c r="AB1842" s="278" t="str">
        <f t="shared" si="260"/>
        <v/>
      </c>
    </row>
    <row r="1843" spans="1:28" s="277" customFormat="1" ht="20.25">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58"/>
        <v/>
      </c>
      <c r="T1843" s="225" t="str">
        <f ca="1">IF(B1843="","",IF(ISERROR(MATCH($J1843,SorP!$B$1:$B$6230,0)),"",INDIRECT("'SorP'!$A$"&amp;MATCH($J1843,SorP!$B$1:$B$6230,0))))</f>
        <v/>
      </c>
      <c r="U1843" s="241"/>
      <c r="V1843" s="275" t="e">
        <f>IF(C1843="",NA(),MATCH($B1843&amp;$C1843,'Smelter Look-up'!$J:$J,0))</f>
        <v>#N/A</v>
      </c>
      <c r="W1843" s="276"/>
      <c r="X1843" s="276">
        <f t="shared" ca="1" si="259"/>
        <v>0</v>
      </c>
      <c r="Y1843" s="276"/>
      <c r="Z1843" s="276"/>
      <c r="AB1843" s="278" t="str">
        <f t="shared" si="260"/>
        <v/>
      </c>
    </row>
    <row r="1844" spans="1:28" s="277" customFormat="1" ht="20.25">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58"/>
        <v/>
      </c>
      <c r="T1844" s="225" t="str">
        <f ca="1">IF(B1844="","",IF(ISERROR(MATCH($J1844,SorP!$B$1:$B$6230,0)),"",INDIRECT("'SorP'!$A$"&amp;MATCH($J1844,SorP!$B$1:$B$6230,0))))</f>
        <v/>
      </c>
      <c r="U1844" s="241"/>
      <c r="V1844" s="275" t="e">
        <f>IF(C1844="",NA(),MATCH($B1844&amp;$C1844,'Smelter Look-up'!$J:$J,0))</f>
        <v>#N/A</v>
      </c>
      <c r="W1844" s="276"/>
      <c r="X1844" s="276">
        <f t="shared" ca="1" si="259"/>
        <v>0</v>
      </c>
      <c r="Y1844" s="276"/>
      <c r="Z1844" s="276"/>
      <c r="AB1844" s="278" t="str">
        <f t="shared" si="260"/>
        <v/>
      </c>
    </row>
    <row r="1845" spans="1:28" s="277" customFormat="1" ht="20.25">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58"/>
        <v/>
      </c>
      <c r="T1845" s="225" t="str">
        <f ca="1">IF(B1845="","",IF(ISERROR(MATCH($J1845,SorP!$B$1:$B$6230,0)),"",INDIRECT("'SorP'!$A$"&amp;MATCH($J1845,SorP!$B$1:$B$6230,0))))</f>
        <v/>
      </c>
      <c r="U1845" s="241"/>
      <c r="V1845" s="275" t="e">
        <f>IF(C1845="",NA(),MATCH($B1845&amp;$C1845,'Smelter Look-up'!$J:$J,0))</f>
        <v>#N/A</v>
      </c>
      <c r="W1845" s="276"/>
      <c r="X1845" s="276">
        <f t="shared" ca="1" si="259"/>
        <v>0</v>
      </c>
      <c r="Y1845" s="276"/>
      <c r="Z1845" s="276"/>
      <c r="AB1845" s="278" t="str">
        <f t="shared" si="260"/>
        <v/>
      </c>
    </row>
    <row r="1846" spans="1:28" s="277" customFormat="1" ht="20.25">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58"/>
        <v/>
      </c>
      <c r="T1846" s="225" t="str">
        <f ca="1">IF(B1846="","",IF(ISERROR(MATCH($J1846,SorP!$B$1:$B$6230,0)),"",INDIRECT("'SorP'!$A$"&amp;MATCH($J1846,SorP!$B$1:$B$6230,0))))</f>
        <v/>
      </c>
      <c r="U1846" s="241"/>
      <c r="V1846" s="275" t="e">
        <f>IF(C1846="",NA(),MATCH($B1846&amp;$C1846,'Smelter Look-up'!$J:$J,0))</f>
        <v>#N/A</v>
      </c>
      <c r="W1846" s="276"/>
      <c r="X1846" s="276">
        <f t="shared" ca="1" si="259"/>
        <v>0</v>
      </c>
      <c r="Y1846" s="276"/>
      <c r="Z1846" s="276"/>
      <c r="AB1846" s="278" t="str">
        <f t="shared" si="260"/>
        <v/>
      </c>
    </row>
    <row r="1847" spans="1:28" s="277" customFormat="1" ht="20.25">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58"/>
        <v/>
      </c>
      <c r="T1847" s="225" t="str">
        <f ca="1">IF(B1847="","",IF(ISERROR(MATCH($J1847,SorP!$B$1:$B$6230,0)),"",INDIRECT("'SorP'!$A$"&amp;MATCH($J1847,SorP!$B$1:$B$6230,0))))</f>
        <v/>
      </c>
      <c r="U1847" s="241"/>
      <c r="V1847" s="275" t="e">
        <f>IF(C1847="",NA(),MATCH($B1847&amp;$C1847,'Smelter Look-up'!$J:$J,0))</f>
        <v>#N/A</v>
      </c>
      <c r="W1847" s="276"/>
      <c r="X1847" s="276">
        <f t="shared" ca="1" si="259"/>
        <v>0</v>
      </c>
      <c r="Y1847" s="276"/>
      <c r="Z1847" s="276"/>
      <c r="AB1847" s="278" t="str">
        <f t="shared" si="260"/>
        <v/>
      </c>
    </row>
    <row r="1848" spans="1:28" s="277" customFormat="1" ht="20.25">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58"/>
        <v/>
      </c>
      <c r="T1848" s="225" t="str">
        <f ca="1">IF(B1848="","",IF(ISERROR(MATCH($J1848,SorP!$B$1:$B$6230,0)),"",INDIRECT("'SorP'!$A$"&amp;MATCH($J1848,SorP!$B$1:$B$6230,0))))</f>
        <v/>
      </c>
      <c r="U1848" s="241"/>
      <c r="V1848" s="275" t="e">
        <f>IF(C1848="",NA(),MATCH($B1848&amp;$C1848,'Smelter Look-up'!$J:$J,0))</f>
        <v>#N/A</v>
      </c>
      <c r="W1848" s="276"/>
      <c r="X1848" s="276">
        <f t="shared" ca="1" si="259"/>
        <v>0</v>
      </c>
      <c r="Y1848" s="276"/>
      <c r="Z1848" s="276"/>
      <c r="AB1848" s="278" t="str">
        <f t="shared" si="260"/>
        <v/>
      </c>
    </row>
    <row r="1849" spans="1:28" s="277" customFormat="1" ht="20.25">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58"/>
        <v/>
      </c>
      <c r="T1849" s="225" t="str">
        <f ca="1">IF(B1849="","",IF(ISERROR(MATCH($J1849,SorP!$B$1:$B$6230,0)),"",INDIRECT("'SorP'!$A$"&amp;MATCH($J1849,SorP!$B$1:$B$6230,0))))</f>
        <v/>
      </c>
      <c r="U1849" s="241"/>
      <c r="V1849" s="275" t="e">
        <f>IF(C1849="",NA(),MATCH($B1849&amp;$C1849,'Smelter Look-up'!$J:$J,0))</f>
        <v>#N/A</v>
      </c>
      <c r="W1849" s="276"/>
      <c r="X1849" s="276">
        <f t="shared" ca="1" si="259"/>
        <v>0</v>
      </c>
      <c r="Y1849" s="276"/>
      <c r="Z1849" s="276"/>
      <c r="AB1849" s="278" t="str">
        <f t="shared" si="260"/>
        <v/>
      </c>
    </row>
    <row r="1850" spans="1:28" s="277" customFormat="1" ht="20.25">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258"/>
        <v/>
      </c>
      <c r="T1850" s="225" t="str">
        <f ca="1">IF(B1850="","",IF(ISERROR(MATCH($J1850,SorP!$B$1:$B$6230,0)),"",INDIRECT("'SorP'!$A$"&amp;MATCH($J1850,SorP!$B$1:$B$6230,0))))</f>
        <v/>
      </c>
      <c r="U1850" s="241"/>
      <c r="V1850" s="275" t="e">
        <f>IF(C1850="",NA(),MATCH($B1850&amp;$C1850,'Smelter Look-up'!$J:$J,0))</f>
        <v>#N/A</v>
      </c>
      <c r="W1850" s="276"/>
      <c r="X1850" s="276">
        <f t="shared" ca="1" si="259"/>
        <v>0</v>
      </c>
      <c r="Y1850" s="276"/>
      <c r="Z1850" s="276"/>
      <c r="AB1850" s="278" t="str">
        <f t="shared" si="260"/>
        <v/>
      </c>
    </row>
    <row r="1851" spans="1:28" s="277" customFormat="1" ht="20.25">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ref="S1851" ca="1" si="261">IF(B1851="","",IF(ISERROR(MATCH($E1851,CL,0)),"Unknown",INDIRECT("'C'!$A$"&amp;MATCH($E1851,CL,0)+1)))</f>
        <v/>
      </c>
      <c r="T1851" s="225" t="str">
        <f ca="1">IF(B1851="","",IF(ISERROR(MATCH($J1851,SorP!$B$1:$B$6230,0)),"",INDIRECT("'SorP'!$A$"&amp;MATCH($J1851,SorP!$B$1:$B$6230,0))))</f>
        <v/>
      </c>
      <c r="U1851" s="241"/>
      <c r="V1851" s="275" t="e">
        <f>IF(C1851="",NA(),MATCH($B1851&amp;$C1851,'Smelter Look-up'!$J:$J,0))</f>
        <v>#N/A</v>
      </c>
      <c r="W1851" s="276"/>
      <c r="X1851" s="276">
        <f t="shared" ref="X1851" ca="1" si="262">IF(AND(C1851="Smelter not listed",OR(LEN(D1851)=0,LEN(E1851)=0)),1,0)</f>
        <v>0</v>
      </c>
      <c r="Y1851" s="276"/>
      <c r="Z1851" s="276"/>
      <c r="AB1851" s="278" t="str">
        <f t="shared" ref="AB1851" si="263">B1851&amp;C1851</f>
        <v/>
      </c>
    </row>
    <row r="1852" spans="1:28" s="277" customFormat="1" ht="20.25">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ref="S1852:S1883" ca="1" si="264">IF(B1852="","",IF(ISERROR(MATCH($E1852,CL,0)),"Unknown",INDIRECT("'C'!$A$"&amp;MATCH($E1852,CL,0)+1)))</f>
        <v/>
      </c>
      <c r="T1852" s="225" t="str">
        <f ca="1">IF(B1852="","",IF(ISERROR(MATCH($J1852,SorP!$B$1:$B$6230,0)),"",INDIRECT("'SorP'!$A$"&amp;MATCH($J1852,SorP!$B$1:$B$6230,0))))</f>
        <v/>
      </c>
      <c r="U1852" s="241"/>
      <c r="V1852" s="275" t="e">
        <f>IF(C1852="",NA(),MATCH($B1852&amp;$C1852,'Smelter Look-up'!$J:$J,0))</f>
        <v>#N/A</v>
      </c>
      <c r="W1852" s="276"/>
      <c r="X1852" s="276">
        <f t="shared" ref="X1852:X1883" ca="1" si="265">IF(AND(C1852="Smelter not listed",OR(LEN(D1852)=0,LEN(E1852)=0)),1,0)</f>
        <v>0</v>
      </c>
      <c r="Y1852" s="276"/>
      <c r="Z1852" s="276"/>
      <c r="AB1852" s="278" t="str">
        <f t="shared" ref="AB1852:AB1883" si="266">B1852&amp;C1852</f>
        <v/>
      </c>
    </row>
    <row r="1853" spans="1:28" s="277" customFormat="1" ht="20.25">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64"/>
        <v/>
      </c>
      <c r="T1853" s="225" t="str">
        <f ca="1">IF(B1853="","",IF(ISERROR(MATCH($J1853,SorP!$B$1:$B$6230,0)),"",INDIRECT("'SorP'!$A$"&amp;MATCH($J1853,SorP!$B$1:$B$6230,0))))</f>
        <v/>
      </c>
      <c r="U1853" s="241"/>
      <c r="V1853" s="275" t="e">
        <f>IF(C1853="",NA(),MATCH($B1853&amp;$C1853,'Smelter Look-up'!$J:$J,0))</f>
        <v>#N/A</v>
      </c>
      <c r="W1853" s="276"/>
      <c r="X1853" s="276">
        <f t="shared" ca="1" si="265"/>
        <v>0</v>
      </c>
      <c r="Y1853" s="276"/>
      <c r="Z1853" s="276"/>
      <c r="AB1853" s="278" t="str">
        <f t="shared" si="266"/>
        <v/>
      </c>
    </row>
    <row r="1854" spans="1:28" s="277" customFormat="1" ht="20.25">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64"/>
        <v/>
      </c>
      <c r="T1854" s="225" t="str">
        <f ca="1">IF(B1854="","",IF(ISERROR(MATCH($J1854,SorP!$B$1:$B$6230,0)),"",INDIRECT("'SorP'!$A$"&amp;MATCH($J1854,SorP!$B$1:$B$6230,0))))</f>
        <v/>
      </c>
      <c r="U1854" s="241"/>
      <c r="V1854" s="275" t="e">
        <f>IF(C1854="",NA(),MATCH($B1854&amp;$C1854,'Smelter Look-up'!$J:$J,0))</f>
        <v>#N/A</v>
      </c>
      <c r="W1854" s="276"/>
      <c r="X1854" s="276">
        <f t="shared" ca="1" si="265"/>
        <v>0</v>
      </c>
      <c r="Y1854" s="276"/>
      <c r="Z1854" s="276"/>
      <c r="AB1854" s="278" t="str">
        <f t="shared" si="266"/>
        <v/>
      </c>
    </row>
    <row r="1855" spans="1:28" s="277" customFormat="1" ht="20.25">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64"/>
        <v/>
      </c>
      <c r="T1855" s="225" t="str">
        <f ca="1">IF(B1855="","",IF(ISERROR(MATCH($J1855,SorP!$B$1:$B$6230,0)),"",INDIRECT("'SorP'!$A$"&amp;MATCH($J1855,SorP!$B$1:$B$6230,0))))</f>
        <v/>
      </c>
      <c r="U1855" s="241"/>
      <c r="V1855" s="275" t="e">
        <f>IF(C1855="",NA(),MATCH($B1855&amp;$C1855,'Smelter Look-up'!$J:$J,0))</f>
        <v>#N/A</v>
      </c>
      <c r="W1855" s="276"/>
      <c r="X1855" s="276">
        <f t="shared" ca="1" si="265"/>
        <v>0</v>
      </c>
      <c r="Y1855" s="276"/>
      <c r="Z1855" s="276"/>
      <c r="AB1855" s="278" t="str">
        <f t="shared" si="266"/>
        <v/>
      </c>
    </row>
    <row r="1856" spans="1:28" s="277" customFormat="1" ht="20.25">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64"/>
        <v/>
      </c>
      <c r="T1856" s="225" t="str">
        <f ca="1">IF(B1856="","",IF(ISERROR(MATCH($J1856,SorP!$B$1:$B$6230,0)),"",INDIRECT("'SorP'!$A$"&amp;MATCH($J1856,SorP!$B$1:$B$6230,0))))</f>
        <v/>
      </c>
      <c r="U1856" s="241"/>
      <c r="V1856" s="275" t="e">
        <f>IF(C1856="",NA(),MATCH($B1856&amp;$C1856,'Smelter Look-up'!$J:$J,0))</f>
        <v>#N/A</v>
      </c>
      <c r="W1856" s="276"/>
      <c r="X1856" s="276">
        <f t="shared" ca="1" si="265"/>
        <v>0</v>
      </c>
      <c r="Y1856" s="276"/>
      <c r="Z1856" s="276"/>
      <c r="AB1856" s="278" t="str">
        <f t="shared" si="266"/>
        <v/>
      </c>
    </row>
    <row r="1857" spans="1:28" s="277" customFormat="1" ht="20.25">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64"/>
        <v/>
      </c>
      <c r="T1857" s="225" t="str">
        <f ca="1">IF(B1857="","",IF(ISERROR(MATCH($J1857,SorP!$B$1:$B$6230,0)),"",INDIRECT("'SorP'!$A$"&amp;MATCH($J1857,SorP!$B$1:$B$6230,0))))</f>
        <v/>
      </c>
      <c r="U1857" s="241"/>
      <c r="V1857" s="275" t="e">
        <f>IF(C1857="",NA(),MATCH($B1857&amp;$C1857,'Smelter Look-up'!$J:$J,0))</f>
        <v>#N/A</v>
      </c>
      <c r="W1857" s="276"/>
      <c r="X1857" s="276">
        <f t="shared" ca="1" si="265"/>
        <v>0</v>
      </c>
      <c r="Y1857" s="276"/>
      <c r="Z1857" s="276"/>
      <c r="AB1857" s="278" t="str">
        <f t="shared" si="266"/>
        <v/>
      </c>
    </row>
    <row r="1858" spans="1:28" s="277" customFormat="1" ht="20.25">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64"/>
        <v/>
      </c>
      <c r="T1858" s="225" t="str">
        <f ca="1">IF(B1858="","",IF(ISERROR(MATCH($J1858,SorP!$B$1:$B$6230,0)),"",INDIRECT("'SorP'!$A$"&amp;MATCH($J1858,SorP!$B$1:$B$6230,0))))</f>
        <v/>
      </c>
      <c r="U1858" s="241"/>
      <c r="V1858" s="275" t="e">
        <f>IF(C1858="",NA(),MATCH($B1858&amp;$C1858,'Smelter Look-up'!$J:$J,0))</f>
        <v>#N/A</v>
      </c>
      <c r="W1858" s="276"/>
      <c r="X1858" s="276">
        <f t="shared" ca="1" si="265"/>
        <v>0</v>
      </c>
      <c r="Y1858" s="276"/>
      <c r="Z1858" s="276"/>
      <c r="AB1858" s="278" t="str">
        <f t="shared" si="266"/>
        <v/>
      </c>
    </row>
    <row r="1859" spans="1:28" s="277" customFormat="1" ht="20.25">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64"/>
        <v/>
      </c>
      <c r="T1859" s="225" t="str">
        <f ca="1">IF(B1859="","",IF(ISERROR(MATCH($J1859,SorP!$B$1:$B$6230,0)),"",INDIRECT("'SorP'!$A$"&amp;MATCH($J1859,SorP!$B$1:$B$6230,0))))</f>
        <v/>
      </c>
      <c r="U1859" s="241"/>
      <c r="V1859" s="275" t="e">
        <f>IF(C1859="",NA(),MATCH($B1859&amp;$C1859,'Smelter Look-up'!$J:$J,0))</f>
        <v>#N/A</v>
      </c>
      <c r="W1859" s="276"/>
      <c r="X1859" s="276">
        <f t="shared" ca="1" si="265"/>
        <v>0</v>
      </c>
      <c r="Y1859" s="276"/>
      <c r="Z1859" s="276"/>
      <c r="AB1859" s="278" t="str">
        <f t="shared" si="266"/>
        <v/>
      </c>
    </row>
    <row r="1860" spans="1:28" s="277" customFormat="1" ht="20.25">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64"/>
        <v/>
      </c>
      <c r="T1860" s="225" t="str">
        <f ca="1">IF(B1860="","",IF(ISERROR(MATCH($J1860,SorP!$B$1:$B$6230,0)),"",INDIRECT("'SorP'!$A$"&amp;MATCH($J1860,SorP!$B$1:$B$6230,0))))</f>
        <v/>
      </c>
      <c r="U1860" s="241"/>
      <c r="V1860" s="275" t="e">
        <f>IF(C1860="",NA(),MATCH($B1860&amp;$C1860,'Smelter Look-up'!$J:$J,0))</f>
        <v>#N/A</v>
      </c>
      <c r="W1860" s="276"/>
      <c r="X1860" s="276">
        <f t="shared" ca="1" si="265"/>
        <v>0</v>
      </c>
      <c r="Y1860" s="276"/>
      <c r="Z1860" s="276"/>
      <c r="AB1860" s="278" t="str">
        <f t="shared" si="266"/>
        <v/>
      </c>
    </row>
    <row r="1861" spans="1:28" s="277" customFormat="1" ht="20.25">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64"/>
        <v/>
      </c>
      <c r="T1861" s="225" t="str">
        <f ca="1">IF(B1861="","",IF(ISERROR(MATCH($J1861,SorP!$B$1:$B$6230,0)),"",INDIRECT("'SorP'!$A$"&amp;MATCH($J1861,SorP!$B$1:$B$6230,0))))</f>
        <v/>
      </c>
      <c r="U1861" s="241"/>
      <c r="V1861" s="275" t="e">
        <f>IF(C1861="",NA(),MATCH($B1861&amp;$C1861,'Smelter Look-up'!$J:$J,0))</f>
        <v>#N/A</v>
      </c>
      <c r="W1861" s="276"/>
      <c r="X1861" s="276">
        <f t="shared" ca="1" si="265"/>
        <v>0</v>
      </c>
      <c r="Y1861" s="276"/>
      <c r="Z1861" s="276"/>
      <c r="AB1861" s="278" t="str">
        <f t="shared" si="266"/>
        <v/>
      </c>
    </row>
    <row r="1862" spans="1:28" s="277" customFormat="1" ht="20.25">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64"/>
        <v/>
      </c>
      <c r="T1862" s="225" t="str">
        <f ca="1">IF(B1862="","",IF(ISERROR(MATCH($J1862,SorP!$B$1:$B$6230,0)),"",INDIRECT("'SorP'!$A$"&amp;MATCH($J1862,SorP!$B$1:$B$6230,0))))</f>
        <v/>
      </c>
      <c r="U1862" s="241"/>
      <c r="V1862" s="275" t="e">
        <f>IF(C1862="",NA(),MATCH($B1862&amp;$C1862,'Smelter Look-up'!$J:$J,0))</f>
        <v>#N/A</v>
      </c>
      <c r="W1862" s="276"/>
      <c r="X1862" s="276">
        <f t="shared" ca="1" si="265"/>
        <v>0</v>
      </c>
      <c r="Y1862" s="276"/>
      <c r="Z1862" s="276"/>
      <c r="AB1862" s="278" t="str">
        <f t="shared" si="266"/>
        <v/>
      </c>
    </row>
    <row r="1863" spans="1:28" s="277" customFormat="1" ht="20.25">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64"/>
        <v/>
      </c>
      <c r="T1863" s="225" t="str">
        <f ca="1">IF(B1863="","",IF(ISERROR(MATCH($J1863,SorP!$B$1:$B$6230,0)),"",INDIRECT("'SorP'!$A$"&amp;MATCH($J1863,SorP!$B$1:$B$6230,0))))</f>
        <v/>
      </c>
      <c r="U1863" s="241"/>
      <c r="V1863" s="275" t="e">
        <f>IF(C1863="",NA(),MATCH($B1863&amp;$C1863,'Smelter Look-up'!$J:$J,0))</f>
        <v>#N/A</v>
      </c>
      <c r="W1863" s="276"/>
      <c r="X1863" s="276">
        <f t="shared" ca="1" si="265"/>
        <v>0</v>
      </c>
      <c r="Y1863" s="276"/>
      <c r="Z1863" s="276"/>
      <c r="AB1863" s="278" t="str">
        <f t="shared" si="266"/>
        <v/>
      </c>
    </row>
    <row r="1864" spans="1:28" s="277" customFormat="1" ht="20.25">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64"/>
        <v/>
      </c>
      <c r="T1864" s="225" t="str">
        <f ca="1">IF(B1864="","",IF(ISERROR(MATCH($J1864,SorP!$B$1:$B$6230,0)),"",INDIRECT("'SorP'!$A$"&amp;MATCH($J1864,SorP!$B$1:$B$6230,0))))</f>
        <v/>
      </c>
      <c r="U1864" s="241"/>
      <c r="V1864" s="275" t="e">
        <f>IF(C1864="",NA(),MATCH($B1864&amp;$C1864,'Smelter Look-up'!$J:$J,0))</f>
        <v>#N/A</v>
      </c>
      <c r="W1864" s="276"/>
      <c r="X1864" s="276">
        <f t="shared" ca="1" si="265"/>
        <v>0</v>
      </c>
      <c r="Y1864" s="276"/>
      <c r="Z1864" s="276"/>
      <c r="AB1864" s="278" t="str">
        <f t="shared" si="266"/>
        <v/>
      </c>
    </row>
    <row r="1865" spans="1:28" s="277" customFormat="1" ht="20.25">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64"/>
        <v/>
      </c>
      <c r="T1865" s="225" t="str">
        <f ca="1">IF(B1865="","",IF(ISERROR(MATCH($J1865,SorP!$B$1:$B$6230,0)),"",INDIRECT("'SorP'!$A$"&amp;MATCH($J1865,SorP!$B$1:$B$6230,0))))</f>
        <v/>
      </c>
      <c r="U1865" s="241"/>
      <c r="V1865" s="275" t="e">
        <f>IF(C1865="",NA(),MATCH($B1865&amp;$C1865,'Smelter Look-up'!$J:$J,0))</f>
        <v>#N/A</v>
      </c>
      <c r="W1865" s="276"/>
      <c r="X1865" s="276">
        <f t="shared" ca="1" si="265"/>
        <v>0</v>
      </c>
      <c r="Y1865" s="276"/>
      <c r="Z1865" s="276"/>
      <c r="AB1865" s="278" t="str">
        <f t="shared" si="266"/>
        <v/>
      </c>
    </row>
    <row r="1866" spans="1:28" s="277" customFormat="1" ht="20.25">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64"/>
        <v/>
      </c>
      <c r="T1866" s="225" t="str">
        <f ca="1">IF(B1866="","",IF(ISERROR(MATCH($J1866,SorP!$B$1:$B$6230,0)),"",INDIRECT("'SorP'!$A$"&amp;MATCH($J1866,SorP!$B$1:$B$6230,0))))</f>
        <v/>
      </c>
      <c r="U1866" s="241"/>
      <c r="V1866" s="275" t="e">
        <f>IF(C1866="",NA(),MATCH($B1866&amp;$C1866,'Smelter Look-up'!$J:$J,0))</f>
        <v>#N/A</v>
      </c>
      <c r="W1866" s="276"/>
      <c r="X1866" s="276">
        <f t="shared" ca="1" si="265"/>
        <v>0</v>
      </c>
      <c r="Y1866" s="276"/>
      <c r="Z1866" s="276"/>
      <c r="AB1866" s="278" t="str">
        <f t="shared" si="266"/>
        <v/>
      </c>
    </row>
    <row r="1867" spans="1:28" s="277" customFormat="1" ht="20.25">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64"/>
        <v/>
      </c>
      <c r="T1867" s="225" t="str">
        <f ca="1">IF(B1867="","",IF(ISERROR(MATCH($J1867,SorP!$B$1:$B$6230,0)),"",INDIRECT("'SorP'!$A$"&amp;MATCH($J1867,SorP!$B$1:$B$6230,0))))</f>
        <v/>
      </c>
      <c r="U1867" s="241"/>
      <c r="V1867" s="275" t="e">
        <f>IF(C1867="",NA(),MATCH($B1867&amp;$C1867,'Smelter Look-up'!$J:$J,0))</f>
        <v>#N/A</v>
      </c>
      <c r="W1867" s="276"/>
      <c r="X1867" s="276">
        <f t="shared" ca="1" si="265"/>
        <v>0</v>
      </c>
      <c r="Y1867" s="276"/>
      <c r="Z1867" s="276"/>
      <c r="AB1867" s="278" t="str">
        <f t="shared" si="266"/>
        <v/>
      </c>
    </row>
    <row r="1868" spans="1:28" s="277" customFormat="1" ht="20.25">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64"/>
        <v/>
      </c>
      <c r="T1868" s="225" t="str">
        <f ca="1">IF(B1868="","",IF(ISERROR(MATCH($J1868,SorP!$B$1:$B$6230,0)),"",INDIRECT("'SorP'!$A$"&amp;MATCH($J1868,SorP!$B$1:$B$6230,0))))</f>
        <v/>
      </c>
      <c r="U1868" s="241"/>
      <c r="V1868" s="275" t="e">
        <f>IF(C1868="",NA(),MATCH($B1868&amp;$C1868,'Smelter Look-up'!$J:$J,0))</f>
        <v>#N/A</v>
      </c>
      <c r="W1868" s="276"/>
      <c r="X1868" s="276">
        <f t="shared" ca="1" si="265"/>
        <v>0</v>
      </c>
      <c r="Y1868" s="276"/>
      <c r="Z1868" s="276"/>
      <c r="AB1868" s="278" t="str">
        <f t="shared" si="266"/>
        <v/>
      </c>
    </row>
    <row r="1869" spans="1:28" s="277" customFormat="1" ht="20.25">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64"/>
        <v/>
      </c>
      <c r="T1869" s="225" t="str">
        <f ca="1">IF(B1869="","",IF(ISERROR(MATCH($J1869,SorP!$B$1:$B$6230,0)),"",INDIRECT("'SorP'!$A$"&amp;MATCH($J1869,SorP!$B$1:$B$6230,0))))</f>
        <v/>
      </c>
      <c r="U1869" s="241"/>
      <c r="V1869" s="275" t="e">
        <f>IF(C1869="",NA(),MATCH($B1869&amp;$C1869,'Smelter Look-up'!$J:$J,0))</f>
        <v>#N/A</v>
      </c>
      <c r="W1869" s="276"/>
      <c r="X1869" s="276">
        <f t="shared" ca="1" si="265"/>
        <v>0</v>
      </c>
      <c r="Y1869" s="276"/>
      <c r="Z1869" s="276"/>
      <c r="AB1869" s="278" t="str">
        <f t="shared" si="266"/>
        <v/>
      </c>
    </row>
    <row r="1870" spans="1:28" s="277" customFormat="1" ht="20.25">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64"/>
        <v/>
      </c>
      <c r="T1870" s="225" t="str">
        <f ca="1">IF(B1870="","",IF(ISERROR(MATCH($J1870,SorP!$B$1:$B$6230,0)),"",INDIRECT("'SorP'!$A$"&amp;MATCH($J1870,SorP!$B$1:$B$6230,0))))</f>
        <v/>
      </c>
      <c r="U1870" s="241"/>
      <c r="V1870" s="275" t="e">
        <f>IF(C1870="",NA(),MATCH($B1870&amp;$C1870,'Smelter Look-up'!$J:$J,0))</f>
        <v>#N/A</v>
      </c>
      <c r="W1870" s="276"/>
      <c r="X1870" s="276">
        <f t="shared" ca="1" si="265"/>
        <v>0</v>
      </c>
      <c r="Y1870" s="276"/>
      <c r="Z1870" s="276"/>
      <c r="AB1870" s="278" t="str">
        <f t="shared" si="266"/>
        <v/>
      </c>
    </row>
    <row r="1871" spans="1:28" s="277" customFormat="1" ht="20.25">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64"/>
        <v/>
      </c>
      <c r="T1871" s="225" t="str">
        <f ca="1">IF(B1871="","",IF(ISERROR(MATCH($J1871,SorP!$B$1:$B$6230,0)),"",INDIRECT("'SorP'!$A$"&amp;MATCH($J1871,SorP!$B$1:$B$6230,0))))</f>
        <v/>
      </c>
      <c r="U1871" s="241"/>
      <c r="V1871" s="275" t="e">
        <f>IF(C1871="",NA(),MATCH($B1871&amp;$C1871,'Smelter Look-up'!$J:$J,0))</f>
        <v>#N/A</v>
      </c>
      <c r="W1871" s="276"/>
      <c r="X1871" s="276">
        <f t="shared" ca="1" si="265"/>
        <v>0</v>
      </c>
      <c r="Y1871" s="276"/>
      <c r="Z1871" s="276"/>
      <c r="AB1871" s="278" t="str">
        <f t="shared" si="266"/>
        <v/>
      </c>
    </row>
    <row r="1872" spans="1:28" s="277" customFormat="1" ht="20.25">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264"/>
        <v/>
      </c>
      <c r="T1872" s="225" t="str">
        <f ca="1">IF(B1872="","",IF(ISERROR(MATCH($J1872,SorP!$B$1:$B$6230,0)),"",INDIRECT("'SorP'!$A$"&amp;MATCH($J1872,SorP!$B$1:$B$6230,0))))</f>
        <v/>
      </c>
      <c r="U1872" s="241"/>
      <c r="V1872" s="275" t="e">
        <f>IF(C1872="",NA(),MATCH($B1872&amp;$C1872,'Smelter Look-up'!$J:$J,0))</f>
        <v>#N/A</v>
      </c>
      <c r="W1872" s="276"/>
      <c r="X1872" s="276">
        <f t="shared" ca="1" si="265"/>
        <v>0</v>
      </c>
      <c r="Y1872" s="276"/>
      <c r="Z1872" s="276"/>
      <c r="AB1872" s="278" t="str">
        <f t="shared" si="266"/>
        <v/>
      </c>
    </row>
    <row r="1873" spans="1:28" s="277" customFormat="1" ht="20.25">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64"/>
        <v/>
      </c>
      <c r="T1873" s="225" t="str">
        <f ca="1">IF(B1873="","",IF(ISERROR(MATCH($J1873,SorP!$B$1:$B$6230,0)),"",INDIRECT("'SorP'!$A$"&amp;MATCH($J1873,SorP!$B$1:$B$6230,0))))</f>
        <v/>
      </c>
      <c r="U1873" s="241"/>
      <c r="V1873" s="275" t="e">
        <f>IF(C1873="",NA(),MATCH($B1873&amp;$C1873,'Smelter Look-up'!$J:$J,0))</f>
        <v>#N/A</v>
      </c>
      <c r="W1873" s="276"/>
      <c r="X1873" s="276">
        <f t="shared" ca="1" si="265"/>
        <v>0</v>
      </c>
      <c r="Y1873" s="276"/>
      <c r="Z1873" s="276"/>
      <c r="AB1873" s="278" t="str">
        <f t="shared" si="266"/>
        <v/>
      </c>
    </row>
    <row r="1874" spans="1:28" s="277" customFormat="1" ht="20.25">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264"/>
        <v/>
      </c>
      <c r="T1874" s="225" t="str">
        <f ca="1">IF(B1874="","",IF(ISERROR(MATCH($J1874,SorP!$B$1:$B$6230,0)),"",INDIRECT("'SorP'!$A$"&amp;MATCH($J1874,SorP!$B$1:$B$6230,0))))</f>
        <v/>
      </c>
      <c r="U1874" s="241"/>
      <c r="V1874" s="275" t="e">
        <f>IF(C1874="",NA(),MATCH($B1874&amp;$C1874,'Smelter Look-up'!$J:$J,0))</f>
        <v>#N/A</v>
      </c>
      <c r="W1874" s="276"/>
      <c r="X1874" s="276">
        <f t="shared" ca="1" si="265"/>
        <v>0</v>
      </c>
      <c r="Y1874" s="276"/>
      <c r="Z1874" s="276"/>
      <c r="AB1874" s="278" t="str">
        <f t="shared" si="266"/>
        <v/>
      </c>
    </row>
    <row r="1875" spans="1:28" s="277" customFormat="1" ht="20.25">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64"/>
        <v/>
      </c>
      <c r="T1875" s="225" t="str">
        <f ca="1">IF(B1875="","",IF(ISERROR(MATCH($J1875,SorP!$B$1:$B$6230,0)),"",INDIRECT("'SorP'!$A$"&amp;MATCH($J1875,SorP!$B$1:$B$6230,0))))</f>
        <v/>
      </c>
      <c r="U1875" s="241"/>
      <c r="V1875" s="275" t="e">
        <f>IF(C1875="",NA(),MATCH($B1875&amp;$C1875,'Smelter Look-up'!$J:$J,0))</f>
        <v>#N/A</v>
      </c>
      <c r="W1875" s="276"/>
      <c r="X1875" s="276">
        <f t="shared" ca="1" si="265"/>
        <v>0</v>
      </c>
      <c r="Y1875" s="276"/>
      <c r="Z1875" s="276"/>
      <c r="AB1875" s="278" t="str">
        <f t="shared" si="266"/>
        <v/>
      </c>
    </row>
    <row r="1876" spans="1:28" s="277" customFormat="1" ht="20.25">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64"/>
        <v/>
      </c>
      <c r="T1876" s="225" t="str">
        <f ca="1">IF(B1876="","",IF(ISERROR(MATCH($J1876,SorP!$B$1:$B$6230,0)),"",INDIRECT("'SorP'!$A$"&amp;MATCH($J1876,SorP!$B$1:$B$6230,0))))</f>
        <v/>
      </c>
      <c r="U1876" s="241"/>
      <c r="V1876" s="275" t="e">
        <f>IF(C1876="",NA(),MATCH($B1876&amp;$C1876,'Smelter Look-up'!$J:$J,0))</f>
        <v>#N/A</v>
      </c>
      <c r="W1876" s="276"/>
      <c r="X1876" s="276">
        <f t="shared" ca="1" si="265"/>
        <v>0</v>
      </c>
      <c r="Y1876" s="276"/>
      <c r="Z1876" s="276"/>
      <c r="AB1876" s="278" t="str">
        <f t="shared" si="266"/>
        <v/>
      </c>
    </row>
    <row r="1877" spans="1:28" s="277" customFormat="1" ht="20.25">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64"/>
        <v/>
      </c>
      <c r="T1877" s="225" t="str">
        <f ca="1">IF(B1877="","",IF(ISERROR(MATCH($J1877,SorP!$B$1:$B$6230,0)),"",INDIRECT("'SorP'!$A$"&amp;MATCH($J1877,SorP!$B$1:$B$6230,0))))</f>
        <v/>
      </c>
      <c r="U1877" s="241"/>
      <c r="V1877" s="275" t="e">
        <f>IF(C1877="",NA(),MATCH($B1877&amp;$C1877,'Smelter Look-up'!$J:$J,0))</f>
        <v>#N/A</v>
      </c>
      <c r="W1877" s="276"/>
      <c r="X1877" s="276">
        <f t="shared" ca="1" si="265"/>
        <v>0</v>
      </c>
      <c r="Y1877" s="276"/>
      <c r="Z1877" s="276"/>
      <c r="AB1877" s="278" t="str">
        <f t="shared" si="266"/>
        <v/>
      </c>
    </row>
    <row r="1878" spans="1:28" s="277" customFormat="1" ht="20.25">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64"/>
        <v/>
      </c>
      <c r="T1878" s="225" t="str">
        <f ca="1">IF(B1878="","",IF(ISERROR(MATCH($J1878,SorP!$B$1:$B$6230,0)),"",INDIRECT("'SorP'!$A$"&amp;MATCH($J1878,SorP!$B$1:$B$6230,0))))</f>
        <v/>
      </c>
      <c r="U1878" s="241"/>
      <c r="V1878" s="275" t="e">
        <f>IF(C1878="",NA(),MATCH($B1878&amp;$C1878,'Smelter Look-up'!$J:$J,0))</f>
        <v>#N/A</v>
      </c>
      <c r="W1878" s="276"/>
      <c r="X1878" s="276">
        <f t="shared" ca="1" si="265"/>
        <v>0</v>
      </c>
      <c r="Y1878" s="276"/>
      <c r="Z1878" s="276"/>
      <c r="AB1878" s="278" t="str">
        <f t="shared" si="266"/>
        <v/>
      </c>
    </row>
    <row r="1879" spans="1:28" s="277" customFormat="1" ht="20.25">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64"/>
        <v/>
      </c>
      <c r="T1879" s="225" t="str">
        <f ca="1">IF(B1879="","",IF(ISERROR(MATCH($J1879,SorP!$B$1:$B$6230,0)),"",INDIRECT("'SorP'!$A$"&amp;MATCH($J1879,SorP!$B$1:$B$6230,0))))</f>
        <v/>
      </c>
      <c r="U1879" s="241"/>
      <c r="V1879" s="275" t="e">
        <f>IF(C1879="",NA(),MATCH($B1879&amp;$C1879,'Smelter Look-up'!$J:$J,0))</f>
        <v>#N/A</v>
      </c>
      <c r="W1879" s="276"/>
      <c r="X1879" s="276">
        <f t="shared" ca="1" si="265"/>
        <v>0</v>
      </c>
      <c r="Y1879" s="276"/>
      <c r="Z1879" s="276"/>
      <c r="AB1879" s="278" t="str">
        <f t="shared" si="266"/>
        <v/>
      </c>
    </row>
    <row r="1880" spans="1:28" s="277" customFormat="1" ht="20.25">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64"/>
        <v/>
      </c>
      <c r="T1880" s="225" t="str">
        <f ca="1">IF(B1880="","",IF(ISERROR(MATCH($J1880,SorP!$B$1:$B$6230,0)),"",INDIRECT("'SorP'!$A$"&amp;MATCH($J1880,SorP!$B$1:$B$6230,0))))</f>
        <v/>
      </c>
      <c r="U1880" s="241"/>
      <c r="V1880" s="275" t="e">
        <f>IF(C1880="",NA(),MATCH($B1880&amp;$C1880,'Smelter Look-up'!$J:$J,0))</f>
        <v>#N/A</v>
      </c>
      <c r="W1880" s="276"/>
      <c r="X1880" s="276">
        <f t="shared" ca="1" si="265"/>
        <v>0</v>
      </c>
      <c r="Y1880" s="276"/>
      <c r="Z1880" s="276"/>
      <c r="AB1880" s="278" t="str">
        <f t="shared" si="266"/>
        <v/>
      </c>
    </row>
    <row r="1881" spans="1:28" s="277" customFormat="1" ht="20.25">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64"/>
        <v/>
      </c>
      <c r="T1881" s="225" t="str">
        <f ca="1">IF(B1881="","",IF(ISERROR(MATCH($J1881,SorP!$B$1:$B$6230,0)),"",INDIRECT("'SorP'!$A$"&amp;MATCH($J1881,SorP!$B$1:$B$6230,0))))</f>
        <v/>
      </c>
      <c r="U1881" s="241"/>
      <c r="V1881" s="275" t="e">
        <f>IF(C1881="",NA(),MATCH($B1881&amp;$C1881,'Smelter Look-up'!$J:$J,0))</f>
        <v>#N/A</v>
      </c>
      <c r="W1881" s="276"/>
      <c r="X1881" s="276">
        <f t="shared" ca="1" si="265"/>
        <v>0</v>
      </c>
      <c r="Y1881" s="276"/>
      <c r="Z1881" s="276"/>
      <c r="AB1881" s="278" t="str">
        <f t="shared" si="266"/>
        <v/>
      </c>
    </row>
    <row r="1882" spans="1:28" s="277" customFormat="1" ht="20.25">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64"/>
        <v/>
      </c>
      <c r="T1882" s="225" t="str">
        <f ca="1">IF(B1882="","",IF(ISERROR(MATCH($J1882,SorP!$B$1:$B$6230,0)),"",INDIRECT("'SorP'!$A$"&amp;MATCH($J1882,SorP!$B$1:$B$6230,0))))</f>
        <v/>
      </c>
      <c r="U1882" s="241"/>
      <c r="V1882" s="275" t="e">
        <f>IF(C1882="",NA(),MATCH($B1882&amp;$C1882,'Smelter Look-up'!$J:$J,0))</f>
        <v>#N/A</v>
      </c>
      <c r="W1882" s="276"/>
      <c r="X1882" s="276">
        <f t="shared" ca="1" si="265"/>
        <v>0</v>
      </c>
      <c r="Y1882" s="276"/>
      <c r="Z1882" s="276"/>
      <c r="AB1882" s="278" t="str">
        <f t="shared" si="266"/>
        <v/>
      </c>
    </row>
    <row r="1883" spans="1:28" s="277" customFormat="1" ht="20.25">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264"/>
        <v/>
      </c>
      <c r="T1883" s="225" t="str">
        <f ca="1">IF(B1883="","",IF(ISERROR(MATCH($J1883,SorP!$B$1:$B$6230,0)),"",INDIRECT("'SorP'!$A$"&amp;MATCH($J1883,SorP!$B$1:$B$6230,0))))</f>
        <v/>
      </c>
      <c r="U1883" s="241"/>
      <c r="V1883" s="275" t="e">
        <f>IF(C1883="",NA(),MATCH($B1883&amp;$C1883,'Smelter Look-up'!$J:$J,0))</f>
        <v>#N/A</v>
      </c>
      <c r="W1883" s="276"/>
      <c r="X1883" s="276">
        <f t="shared" ca="1" si="265"/>
        <v>0</v>
      </c>
      <c r="Y1883" s="276"/>
      <c r="Z1883" s="276"/>
      <c r="AB1883" s="278" t="str">
        <f t="shared" si="266"/>
        <v/>
      </c>
    </row>
    <row r="1884" spans="1:28" s="277" customFormat="1" ht="20.25">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ref="S1884:S1914" ca="1" si="267">IF(B1884="","",IF(ISERROR(MATCH($E1884,CL,0)),"Unknown",INDIRECT("'C'!$A$"&amp;MATCH($E1884,CL,0)+1)))</f>
        <v/>
      </c>
      <c r="T1884" s="225" t="str">
        <f ca="1">IF(B1884="","",IF(ISERROR(MATCH($J1884,SorP!$B$1:$B$6230,0)),"",INDIRECT("'SorP'!$A$"&amp;MATCH($J1884,SorP!$B$1:$B$6230,0))))</f>
        <v/>
      </c>
      <c r="U1884" s="241"/>
      <c r="V1884" s="275" t="e">
        <f>IF(C1884="",NA(),MATCH($B1884&amp;$C1884,'Smelter Look-up'!$J:$J,0))</f>
        <v>#N/A</v>
      </c>
      <c r="W1884" s="276"/>
      <c r="X1884" s="276">
        <f t="shared" ref="X1884:X1914" ca="1" si="268">IF(AND(C1884="Smelter not listed",OR(LEN(D1884)=0,LEN(E1884)=0)),1,0)</f>
        <v>0</v>
      </c>
      <c r="Y1884" s="276"/>
      <c r="Z1884" s="276"/>
      <c r="AB1884" s="278" t="str">
        <f t="shared" ref="AB1884:AB1914" si="269">B1884&amp;C1884</f>
        <v/>
      </c>
    </row>
    <row r="1885" spans="1:28" s="277" customFormat="1" ht="20.25">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67"/>
        <v/>
      </c>
      <c r="T1885" s="225" t="str">
        <f ca="1">IF(B1885="","",IF(ISERROR(MATCH($J1885,SorP!$B$1:$B$6230,0)),"",INDIRECT("'SorP'!$A$"&amp;MATCH($J1885,SorP!$B$1:$B$6230,0))))</f>
        <v/>
      </c>
      <c r="U1885" s="241"/>
      <c r="V1885" s="275" t="e">
        <f>IF(C1885="",NA(),MATCH($B1885&amp;$C1885,'Smelter Look-up'!$J:$J,0))</f>
        <v>#N/A</v>
      </c>
      <c r="W1885" s="276"/>
      <c r="X1885" s="276">
        <f t="shared" ca="1" si="268"/>
        <v>0</v>
      </c>
      <c r="Y1885" s="276"/>
      <c r="Z1885" s="276"/>
      <c r="AB1885" s="278" t="str">
        <f t="shared" si="269"/>
        <v/>
      </c>
    </row>
    <row r="1886" spans="1:28" s="277" customFormat="1" ht="20.25">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67"/>
        <v/>
      </c>
      <c r="T1886" s="225" t="str">
        <f ca="1">IF(B1886="","",IF(ISERROR(MATCH($J1886,SorP!$B$1:$B$6230,0)),"",INDIRECT("'SorP'!$A$"&amp;MATCH($J1886,SorP!$B$1:$B$6230,0))))</f>
        <v/>
      </c>
      <c r="U1886" s="241"/>
      <c r="V1886" s="275" t="e">
        <f>IF(C1886="",NA(),MATCH($B1886&amp;$C1886,'Smelter Look-up'!$J:$J,0))</f>
        <v>#N/A</v>
      </c>
      <c r="W1886" s="276"/>
      <c r="X1886" s="276">
        <f t="shared" ca="1" si="268"/>
        <v>0</v>
      </c>
      <c r="Y1886" s="276"/>
      <c r="Z1886" s="276"/>
      <c r="AB1886" s="278" t="str">
        <f t="shared" si="269"/>
        <v/>
      </c>
    </row>
    <row r="1887" spans="1:28" s="277" customFormat="1" ht="20.25">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67"/>
        <v/>
      </c>
      <c r="T1887" s="225" t="str">
        <f ca="1">IF(B1887="","",IF(ISERROR(MATCH($J1887,SorP!$B$1:$B$6230,0)),"",INDIRECT("'SorP'!$A$"&amp;MATCH($J1887,SorP!$B$1:$B$6230,0))))</f>
        <v/>
      </c>
      <c r="U1887" s="241"/>
      <c r="V1887" s="275" t="e">
        <f>IF(C1887="",NA(),MATCH($B1887&amp;$C1887,'Smelter Look-up'!$J:$J,0))</f>
        <v>#N/A</v>
      </c>
      <c r="W1887" s="276"/>
      <c r="X1887" s="276">
        <f t="shared" ca="1" si="268"/>
        <v>0</v>
      </c>
      <c r="Y1887" s="276"/>
      <c r="Z1887" s="276"/>
      <c r="AB1887" s="278" t="str">
        <f t="shared" si="269"/>
        <v/>
      </c>
    </row>
    <row r="1888" spans="1:28" s="277" customFormat="1" ht="20.25">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67"/>
        <v/>
      </c>
      <c r="T1888" s="225" t="str">
        <f ca="1">IF(B1888="","",IF(ISERROR(MATCH($J1888,SorP!$B$1:$B$6230,0)),"",INDIRECT("'SorP'!$A$"&amp;MATCH($J1888,SorP!$B$1:$B$6230,0))))</f>
        <v/>
      </c>
      <c r="U1888" s="241"/>
      <c r="V1888" s="275" t="e">
        <f>IF(C1888="",NA(),MATCH($B1888&amp;$C1888,'Smelter Look-up'!$J:$J,0))</f>
        <v>#N/A</v>
      </c>
      <c r="W1888" s="276"/>
      <c r="X1888" s="276">
        <f t="shared" ca="1" si="268"/>
        <v>0</v>
      </c>
      <c r="Y1888" s="276"/>
      <c r="Z1888" s="276"/>
      <c r="AB1888" s="278" t="str">
        <f t="shared" si="269"/>
        <v/>
      </c>
    </row>
    <row r="1889" spans="1:28" s="277" customFormat="1" ht="20.25">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67"/>
        <v/>
      </c>
      <c r="T1889" s="225" t="str">
        <f ca="1">IF(B1889="","",IF(ISERROR(MATCH($J1889,SorP!$B$1:$B$6230,0)),"",INDIRECT("'SorP'!$A$"&amp;MATCH($J1889,SorP!$B$1:$B$6230,0))))</f>
        <v/>
      </c>
      <c r="U1889" s="241"/>
      <c r="V1889" s="275" t="e">
        <f>IF(C1889="",NA(),MATCH($B1889&amp;$C1889,'Smelter Look-up'!$J:$J,0))</f>
        <v>#N/A</v>
      </c>
      <c r="W1889" s="276"/>
      <c r="X1889" s="276">
        <f t="shared" ca="1" si="268"/>
        <v>0</v>
      </c>
      <c r="Y1889" s="276"/>
      <c r="Z1889" s="276"/>
      <c r="AB1889" s="278" t="str">
        <f t="shared" si="269"/>
        <v/>
      </c>
    </row>
    <row r="1890" spans="1:28" s="277" customFormat="1" ht="20.25">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67"/>
        <v/>
      </c>
      <c r="T1890" s="225" t="str">
        <f ca="1">IF(B1890="","",IF(ISERROR(MATCH($J1890,SorP!$B$1:$B$6230,0)),"",INDIRECT("'SorP'!$A$"&amp;MATCH($J1890,SorP!$B$1:$B$6230,0))))</f>
        <v/>
      </c>
      <c r="U1890" s="241"/>
      <c r="V1890" s="275" t="e">
        <f>IF(C1890="",NA(),MATCH($B1890&amp;$C1890,'Smelter Look-up'!$J:$J,0))</f>
        <v>#N/A</v>
      </c>
      <c r="W1890" s="276"/>
      <c r="X1890" s="276">
        <f t="shared" ca="1" si="268"/>
        <v>0</v>
      </c>
      <c r="Y1890" s="276"/>
      <c r="Z1890" s="276"/>
      <c r="AB1890" s="278" t="str">
        <f t="shared" si="269"/>
        <v/>
      </c>
    </row>
    <row r="1891" spans="1:28" s="277" customFormat="1" ht="20.25">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67"/>
        <v/>
      </c>
      <c r="T1891" s="225" t="str">
        <f ca="1">IF(B1891="","",IF(ISERROR(MATCH($J1891,SorP!$B$1:$B$6230,0)),"",INDIRECT("'SorP'!$A$"&amp;MATCH($J1891,SorP!$B$1:$B$6230,0))))</f>
        <v/>
      </c>
      <c r="U1891" s="241"/>
      <c r="V1891" s="275" t="e">
        <f>IF(C1891="",NA(),MATCH($B1891&amp;$C1891,'Smelter Look-up'!$J:$J,0))</f>
        <v>#N/A</v>
      </c>
      <c r="W1891" s="276"/>
      <c r="X1891" s="276">
        <f t="shared" ca="1" si="268"/>
        <v>0</v>
      </c>
      <c r="Y1891" s="276"/>
      <c r="Z1891" s="276"/>
      <c r="AB1891" s="278" t="str">
        <f t="shared" si="269"/>
        <v/>
      </c>
    </row>
    <row r="1892" spans="1:28" s="277" customFormat="1" ht="20.25">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67"/>
        <v/>
      </c>
      <c r="T1892" s="225" t="str">
        <f ca="1">IF(B1892="","",IF(ISERROR(MATCH($J1892,SorP!$B$1:$B$6230,0)),"",INDIRECT("'SorP'!$A$"&amp;MATCH($J1892,SorP!$B$1:$B$6230,0))))</f>
        <v/>
      </c>
      <c r="U1892" s="241"/>
      <c r="V1892" s="275" t="e">
        <f>IF(C1892="",NA(),MATCH($B1892&amp;$C1892,'Smelter Look-up'!$J:$J,0))</f>
        <v>#N/A</v>
      </c>
      <c r="W1892" s="276"/>
      <c r="X1892" s="276">
        <f t="shared" ca="1" si="268"/>
        <v>0</v>
      </c>
      <c r="Y1892" s="276"/>
      <c r="Z1892" s="276"/>
      <c r="AB1892" s="278" t="str">
        <f t="shared" si="269"/>
        <v/>
      </c>
    </row>
    <row r="1893" spans="1:28" s="277" customFormat="1" ht="20.25">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67"/>
        <v/>
      </c>
      <c r="T1893" s="225" t="str">
        <f ca="1">IF(B1893="","",IF(ISERROR(MATCH($J1893,SorP!$B$1:$B$6230,0)),"",INDIRECT("'SorP'!$A$"&amp;MATCH($J1893,SorP!$B$1:$B$6230,0))))</f>
        <v/>
      </c>
      <c r="U1893" s="241"/>
      <c r="V1893" s="275" t="e">
        <f>IF(C1893="",NA(),MATCH($B1893&amp;$C1893,'Smelter Look-up'!$J:$J,0))</f>
        <v>#N/A</v>
      </c>
      <c r="W1893" s="276"/>
      <c r="X1893" s="276">
        <f t="shared" ca="1" si="268"/>
        <v>0</v>
      </c>
      <c r="Y1893" s="276"/>
      <c r="Z1893" s="276"/>
      <c r="AB1893" s="278" t="str">
        <f t="shared" si="269"/>
        <v/>
      </c>
    </row>
    <row r="1894" spans="1:28" s="277" customFormat="1" ht="20.25">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67"/>
        <v/>
      </c>
      <c r="T1894" s="225" t="str">
        <f ca="1">IF(B1894="","",IF(ISERROR(MATCH($J1894,SorP!$B$1:$B$6230,0)),"",INDIRECT("'SorP'!$A$"&amp;MATCH($J1894,SorP!$B$1:$B$6230,0))))</f>
        <v/>
      </c>
      <c r="U1894" s="241"/>
      <c r="V1894" s="275" t="e">
        <f>IF(C1894="",NA(),MATCH($B1894&amp;$C1894,'Smelter Look-up'!$J:$J,0))</f>
        <v>#N/A</v>
      </c>
      <c r="W1894" s="276"/>
      <c r="X1894" s="276">
        <f t="shared" ca="1" si="268"/>
        <v>0</v>
      </c>
      <c r="Y1894" s="276"/>
      <c r="Z1894" s="276"/>
      <c r="AB1894" s="278" t="str">
        <f t="shared" si="269"/>
        <v/>
      </c>
    </row>
    <row r="1895" spans="1:28" s="277" customFormat="1" ht="20.25">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67"/>
        <v/>
      </c>
      <c r="T1895" s="225" t="str">
        <f ca="1">IF(B1895="","",IF(ISERROR(MATCH($J1895,SorP!$B$1:$B$6230,0)),"",INDIRECT("'SorP'!$A$"&amp;MATCH($J1895,SorP!$B$1:$B$6230,0))))</f>
        <v/>
      </c>
      <c r="U1895" s="241"/>
      <c r="V1895" s="275" t="e">
        <f>IF(C1895="",NA(),MATCH($B1895&amp;$C1895,'Smelter Look-up'!$J:$J,0))</f>
        <v>#N/A</v>
      </c>
      <c r="W1895" s="276"/>
      <c r="X1895" s="276">
        <f t="shared" ca="1" si="268"/>
        <v>0</v>
      </c>
      <c r="Y1895" s="276"/>
      <c r="Z1895" s="276"/>
      <c r="AB1895" s="278" t="str">
        <f t="shared" si="269"/>
        <v/>
      </c>
    </row>
    <row r="1896" spans="1:28" s="277" customFormat="1" ht="20.25">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67"/>
        <v/>
      </c>
      <c r="T1896" s="225" t="str">
        <f ca="1">IF(B1896="","",IF(ISERROR(MATCH($J1896,SorP!$B$1:$B$6230,0)),"",INDIRECT("'SorP'!$A$"&amp;MATCH($J1896,SorP!$B$1:$B$6230,0))))</f>
        <v/>
      </c>
      <c r="U1896" s="241"/>
      <c r="V1896" s="275" t="e">
        <f>IF(C1896="",NA(),MATCH($B1896&amp;$C1896,'Smelter Look-up'!$J:$J,0))</f>
        <v>#N/A</v>
      </c>
      <c r="W1896" s="276"/>
      <c r="X1896" s="276">
        <f t="shared" ca="1" si="268"/>
        <v>0</v>
      </c>
      <c r="Y1896" s="276"/>
      <c r="Z1896" s="276"/>
      <c r="AB1896" s="278" t="str">
        <f t="shared" si="269"/>
        <v/>
      </c>
    </row>
    <row r="1897" spans="1:28" s="277" customFormat="1" ht="20.25">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67"/>
        <v/>
      </c>
      <c r="T1897" s="225" t="str">
        <f ca="1">IF(B1897="","",IF(ISERROR(MATCH($J1897,SorP!$B$1:$B$6230,0)),"",INDIRECT("'SorP'!$A$"&amp;MATCH($J1897,SorP!$B$1:$B$6230,0))))</f>
        <v/>
      </c>
      <c r="U1897" s="241"/>
      <c r="V1897" s="275" t="e">
        <f>IF(C1897="",NA(),MATCH($B1897&amp;$C1897,'Smelter Look-up'!$J:$J,0))</f>
        <v>#N/A</v>
      </c>
      <c r="W1897" s="276"/>
      <c r="X1897" s="276">
        <f t="shared" ca="1" si="268"/>
        <v>0</v>
      </c>
      <c r="Y1897" s="276"/>
      <c r="Z1897" s="276"/>
      <c r="AB1897" s="278" t="str">
        <f t="shared" si="269"/>
        <v/>
      </c>
    </row>
    <row r="1898" spans="1:28" s="277" customFormat="1" ht="20.25">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67"/>
        <v/>
      </c>
      <c r="T1898" s="225" t="str">
        <f ca="1">IF(B1898="","",IF(ISERROR(MATCH($J1898,SorP!$B$1:$B$6230,0)),"",INDIRECT("'SorP'!$A$"&amp;MATCH($J1898,SorP!$B$1:$B$6230,0))))</f>
        <v/>
      </c>
      <c r="U1898" s="241"/>
      <c r="V1898" s="275" t="e">
        <f>IF(C1898="",NA(),MATCH($B1898&amp;$C1898,'Smelter Look-up'!$J:$J,0))</f>
        <v>#N/A</v>
      </c>
      <c r="W1898" s="276"/>
      <c r="X1898" s="276">
        <f t="shared" ca="1" si="268"/>
        <v>0</v>
      </c>
      <c r="Y1898" s="276"/>
      <c r="Z1898" s="276"/>
      <c r="AB1898" s="278" t="str">
        <f t="shared" si="269"/>
        <v/>
      </c>
    </row>
    <row r="1899" spans="1:28" s="277" customFormat="1" ht="20.25">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67"/>
        <v/>
      </c>
      <c r="T1899" s="225" t="str">
        <f ca="1">IF(B1899="","",IF(ISERROR(MATCH($J1899,SorP!$B$1:$B$6230,0)),"",INDIRECT("'SorP'!$A$"&amp;MATCH($J1899,SorP!$B$1:$B$6230,0))))</f>
        <v/>
      </c>
      <c r="U1899" s="241"/>
      <c r="V1899" s="275" t="e">
        <f>IF(C1899="",NA(),MATCH($B1899&amp;$C1899,'Smelter Look-up'!$J:$J,0))</f>
        <v>#N/A</v>
      </c>
      <c r="W1899" s="276"/>
      <c r="X1899" s="276">
        <f t="shared" ca="1" si="268"/>
        <v>0</v>
      </c>
      <c r="Y1899" s="276"/>
      <c r="Z1899" s="276"/>
      <c r="AB1899" s="278" t="str">
        <f t="shared" si="269"/>
        <v/>
      </c>
    </row>
    <row r="1900" spans="1:28" s="277" customFormat="1" ht="20.25">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67"/>
        <v/>
      </c>
      <c r="T1900" s="225" t="str">
        <f ca="1">IF(B1900="","",IF(ISERROR(MATCH($J1900,SorP!$B$1:$B$6230,0)),"",INDIRECT("'SorP'!$A$"&amp;MATCH($J1900,SorP!$B$1:$B$6230,0))))</f>
        <v/>
      </c>
      <c r="U1900" s="241"/>
      <c r="V1900" s="275" t="e">
        <f>IF(C1900="",NA(),MATCH($B1900&amp;$C1900,'Smelter Look-up'!$J:$J,0))</f>
        <v>#N/A</v>
      </c>
      <c r="W1900" s="276"/>
      <c r="X1900" s="276">
        <f t="shared" ca="1" si="268"/>
        <v>0</v>
      </c>
      <c r="Y1900" s="276"/>
      <c r="Z1900" s="276"/>
      <c r="AB1900" s="278" t="str">
        <f t="shared" si="269"/>
        <v/>
      </c>
    </row>
    <row r="1901" spans="1:28" s="277" customFormat="1" ht="20.25">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67"/>
        <v/>
      </c>
      <c r="T1901" s="225" t="str">
        <f ca="1">IF(B1901="","",IF(ISERROR(MATCH($J1901,SorP!$B$1:$B$6230,0)),"",INDIRECT("'SorP'!$A$"&amp;MATCH($J1901,SorP!$B$1:$B$6230,0))))</f>
        <v/>
      </c>
      <c r="U1901" s="241"/>
      <c r="V1901" s="275" t="e">
        <f>IF(C1901="",NA(),MATCH($B1901&amp;$C1901,'Smelter Look-up'!$J:$J,0))</f>
        <v>#N/A</v>
      </c>
      <c r="W1901" s="276"/>
      <c r="X1901" s="276">
        <f t="shared" ca="1" si="268"/>
        <v>0</v>
      </c>
      <c r="Y1901" s="276"/>
      <c r="Z1901" s="276"/>
      <c r="AB1901" s="278" t="str">
        <f t="shared" si="269"/>
        <v/>
      </c>
    </row>
    <row r="1902" spans="1:28" s="277" customFormat="1" ht="20.25">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67"/>
        <v/>
      </c>
      <c r="T1902" s="225" t="str">
        <f ca="1">IF(B1902="","",IF(ISERROR(MATCH($J1902,SorP!$B$1:$B$6230,0)),"",INDIRECT("'SorP'!$A$"&amp;MATCH($J1902,SorP!$B$1:$B$6230,0))))</f>
        <v/>
      </c>
      <c r="U1902" s="241"/>
      <c r="V1902" s="275" t="e">
        <f>IF(C1902="",NA(),MATCH($B1902&amp;$C1902,'Smelter Look-up'!$J:$J,0))</f>
        <v>#N/A</v>
      </c>
      <c r="W1902" s="276"/>
      <c r="X1902" s="276">
        <f t="shared" ca="1" si="268"/>
        <v>0</v>
      </c>
      <c r="Y1902" s="276"/>
      <c r="Z1902" s="276"/>
      <c r="AB1902" s="278" t="str">
        <f t="shared" si="269"/>
        <v/>
      </c>
    </row>
    <row r="1903" spans="1:28" s="277" customFormat="1" ht="20.25">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267"/>
        <v/>
      </c>
      <c r="T1903" s="225" t="str">
        <f ca="1">IF(B1903="","",IF(ISERROR(MATCH($J1903,SorP!$B$1:$B$6230,0)),"",INDIRECT("'SorP'!$A$"&amp;MATCH($J1903,SorP!$B$1:$B$6230,0))))</f>
        <v/>
      </c>
      <c r="U1903" s="241"/>
      <c r="V1903" s="275" t="e">
        <f>IF(C1903="",NA(),MATCH($B1903&amp;$C1903,'Smelter Look-up'!$J:$J,0))</f>
        <v>#N/A</v>
      </c>
      <c r="W1903" s="276"/>
      <c r="X1903" s="276">
        <f t="shared" ca="1" si="268"/>
        <v>0</v>
      </c>
      <c r="Y1903" s="276"/>
      <c r="Z1903" s="276"/>
      <c r="AB1903" s="278" t="str">
        <f t="shared" si="269"/>
        <v/>
      </c>
    </row>
    <row r="1904" spans="1:28" s="277" customFormat="1" ht="20.25">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267"/>
        <v/>
      </c>
      <c r="T1904" s="225" t="str">
        <f ca="1">IF(B1904="","",IF(ISERROR(MATCH($J1904,SorP!$B$1:$B$6230,0)),"",INDIRECT("'SorP'!$A$"&amp;MATCH($J1904,SorP!$B$1:$B$6230,0))))</f>
        <v/>
      </c>
      <c r="U1904" s="241"/>
      <c r="V1904" s="275" t="e">
        <f>IF(C1904="",NA(),MATCH($B1904&amp;$C1904,'Smelter Look-up'!$J:$J,0))</f>
        <v>#N/A</v>
      </c>
      <c r="W1904" s="276"/>
      <c r="X1904" s="276">
        <f t="shared" ca="1" si="268"/>
        <v>0</v>
      </c>
      <c r="Y1904" s="276"/>
      <c r="Z1904" s="276"/>
      <c r="AB1904" s="278" t="str">
        <f t="shared" si="269"/>
        <v/>
      </c>
    </row>
    <row r="1905" spans="1:28" s="277" customFormat="1" ht="20.25">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267"/>
        <v/>
      </c>
      <c r="T1905" s="225" t="str">
        <f ca="1">IF(B1905="","",IF(ISERROR(MATCH($J1905,SorP!$B$1:$B$6230,0)),"",INDIRECT("'SorP'!$A$"&amp;MATCH($J1905,SorP!$B$1:$B$6230,0))))</f>
        <v/>
      </c>
      <c r="U1905" s="241"/>
      <c r="V1905" s="275" t="e">
        <f>IF(C1905="",NA(),MATCH($B1905&amp;$C1905,'Smelter Look-up'!$J:$J,0))</f>
        <v>#N/A</v>
      </c>
      <c r="W1905" s="276"/>
      <c r="X1905" s="276">
        <f t="shared" ca="1" si="268"/>
        <v>0</v>
      </c>
      <c r="Y1905" s="276"/>
      <c r="Z1905" s="276"/>
      <c r="AB1905" s="278" t="str">
        <f t="shared" si="269"/>
        <v/>
      </c>
    </row>
    <row r="1906" spans="1:28" s="277" customFormat="1" ht="20.25">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267"/>
        <v/>
      </c>
      <c r="T1906" s="225" t="str">
        <f ca="1">IF(B1906="","",IF(ISERROR(MATCH($J1906,SorP!$B$1:$B$6230,0)),"",INDIRECT("'SorP'!$A$"&amp;MATCH($J1906,SorP!$B$1:$B$6230,0))))</f>
        <v/>
      </c>
      <c r="U1906" s="241"/>
      <c r="V1906" s="275" t="e">
        <f>IF(C1906="",NA(),MATCH($B1906&amp;$C1906,'Smelter Look-up'!$J:$J,0))</f>
        <v>#N/A</v>
      </c>
      <c r="W1906" s="276"/>
      <c r="X1906" s="276">
        <f t="shared" ca="1" si="268"/>
        <v>0</v>
      </c>
      <c r="Y1906" s="276"/>
      <c r="Z1906" s="276"/>
      <c r="AB1906" s="278" t="str">
        <f t="shared" si="269"/>
        <v/>
      </c>
    </row>
    <row r="1907" spans="1:28" s="277" customFormat="1" ht="20.25">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67"/>
        <v/>
      </c>
      <c r="T1907" s="225" t="str">
        <f ca="1">IF(B1907="","",IF(ISERROR(MATCH($J1907,SorP!$B$1:$B$6230,0)),"",INDIRECT("'SorP'!$A$"&amp;MATCH($J1907,SorP!$B$1:$B$6230,0))))</f>
        <v/>
      </c>
      <c r="U1907" s="241"/>
      <c r="V1907" s="275" t="e">
        <f>IF(C1907="",NA(),MATCH($B1907&amp;$C1907,'Smelter Look-up'!$J:$J,0))</f>
        <v>#N/A</v>
      </c>
      <c r="W1907" s="276"/>
      <c r="X1907" s="276">
        <f t="shared" ca="1" si="268"/>
        <v>0</v>
      </c>
      <c r="Y1907" s="276"/>
      <c r="Z1907" s="276"/>
      <c r="AB1907" s="278" t="str">
        <f t="shared" si="269"/>
        <v/>
      </c>
    </row>
    <row r="1908" spans="1:28" s="277" customFormat="1" ht="20.25">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67"/>
        <v/>
      </c>
      <c r="T1908" s="225" t="str">
        <f ca="1">IF(B1908="","",IF(ISERROR(MATCH($J1908,SorP!$B$1:$B$6230,0)),"",INDIRECT("'SorP'!$A$"&amp;MATCH($J1908,SorP!$B$1:$B$6230,0))))</f>
        <v/>
      </c>
      <c r="U1908" s="241"/>
      <c r="V1908" s="275" t="e">
        <f>IF(C1908="",NA(),MATCH($B1908&amp;$C1908,'Smelter Look-up'!$J:$J,0))</f>
        <v>#N/A</v>
      </c>
      <c r="W1908" s="276"/>
      <c r="X1908" s="276">
        <f t="shared" ca="1" si="268"/>
        <v>0</v>
      </c>
      <c r="Y1908" s="276"/>
      <c r="Z1908" s="276"/>
      <c r="AB1908" s="278" t="str">
        <f t="shared" si="269"/>
        <v/>
      </c>
    </row>
    <row r="1909" spans="1:28" s="277" customFormat="1" ht="20.25">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67"/>
        <v/>
      </c>
      <c r="T1909" s="225" t="str">
        <f ca="1">IF(B1909="","",IF(ISERROR(MATCH($J1909,SorP!$B$1:$B$6230,0)),"",INDIRECT("'SorP'!$A$"&amp;MATCH($J1909,SorP!$B$1:$B$6230,0))))</f>
        <v/>
      </c>
      <c r="U1909" s="241"/>
      <c r="V1909" s="275" t="e">
        <f>IF(C1909="",NA(),MATCH($B1909&amp;$C1909,'Smelter Look-up'!$J:$J,0))</f>
        <v>#N/A</v>
      </c>
      <c r="W1909" s="276"/>
      <c r="X1909" s="276">
        <f t="shared" ca="1" si="268"/>
        <v>0</v>
      </c>
      <c r="Y1909" s="276"/>
      <c r="Z1909" s="276"/>
      <c r="AB1909" s="278" t="str">
        <f t="shared" si="269"/>
        <v/>
      </c>
    </row>
    <row r="1910" spans="1:28" s="277" customFormat="1" ht="20.25">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67"/>
        <v/>
      </c>
      <c r="T1910" s="225" t="str">
        <f ca="1">IF(B1910="","",IF(ISERROR(MATCH($J1910,SorP!$B$1:$B$6230,0)),"",INDIRECT("'SorP'!$A$"&amp;MATCH($J1910,SorP!$B$1:$B$6230,0))))</f>
        <v/>
      </c>
      <c r="U1910" s="241"/>
      <c r="V1910" s="275" t="e">
        <f>IF(C1910="",NA(),MATCH($B1910&amp;$C1910,'Smelter Look-up'!$J:$J,0))</f>
        <v>#N/A</v>
      </c>
      <c r="W1910" s="276"/>
      <c r="X1910" s="276">
        <f t="shared" ca="1" si="268"/>
        <v>0</v>
      </c>
      <c r="Y1910" s="276"/>
      <c r="Z1910" s="276"/>
      <c r="AB1910" s="278" t="str">
        <f t="shared" si="269"/>
        <v/>
      </c>
    </row>
    <row r="1911" spans="1:28" s="277" customFormat="1" ht="20.25">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67"/>
        <v/>
      </c>
      <c r="T1911" s="225" t="str">
        <f ca="1">IF(B1911="","",IF(ISERROR(MATCH($J1911,SorP!$B$1:$B$6230,0)),"",INDIRECT("'SorP'!$A$"&amp;MATCH($J1911,SorP!$B$1:$B$6230,0))))</f>
        <v/>
      </c>
      <c r="U1911" s="241"/>
      <c r="V1911" s="275" t="e">
        <f>IF(C1911="",NA(),MATCH($B1911&amp;$C1911,'Smelter Look-up'!$J:$J,0))</f>
        <v>#N/A</v>
      </c>
      <c r="W1911" s="276"/>
      <c r="X1911" s="276">
        <f t="shared" ca="1" si="268"/>
        <v>0</v>
      </c>
      <c r="Y1911" s="276"/>
      <c r="Z1911" s="276"/>
      <c r="AB1911" s="278" t="str">
        <f t="shared" si="269"/>
        <v/>
      </c>
    </row>
    <row r="1912" spans="1:28" s="277" customFormat="1" ht="20.25">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67"/>
        <v/>
      </c>
      <c r="T1912" s="225" t="str">
        <f ca="1">IF(B1912="","",IF(ISERROR(MATCH($J1912,SorP!$B$1:$B$6230,0)),"",INDIRECT("'SorP'!$A$"&amp;MATCH($J1912,SorP!$B$1:$B$6230,0))))</f>
        <v/>
      </c>
      <c r="U1912" s="241"/>
      <c r="V1912" s="275" t="e">
        <f>IF(C1912="",NA(),MATCH($B1912&amp;$C1912,'Smelter Look-up'!$J:$J,0))</f>
        <v>#N/A</v>
      </c>
      <c r="W1912" s="276"/>
      <c r="X1912" s="276">
        <f t="shared" ca="1" si="268"/>
        <v>0</v>
      </c>
      <c r="Y1912" s="276"/>
      <c r="Z1912" s="276"/>
      <c r="AB1912" s="278" t="str">
        <f t="shared" si="269"/>
        <v/>
      </c>
    </row>
    <row r="1913" spans="1:28" s="277" customFormat="1" ht="20.25">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67"/>
        <v/>
      </c>
      <c r="T1913" s="225" t="str">
        <f ca="1">IF(B1913="","",IF(ISERROR(MATCH($J1913,SorP!$B$1:$B$6230,0)),"",INDIRECT("'SorP'!$A$"&amp;MATCH($J1913,SorP!$B$1:$B$6230,0))))</f>
        <v/>
      </c>
      <c r="U1913" s="241"/>
      <c r="V1913" s="275" t="e">
        <f>IF(C1913="",NA(),MATCH($B1913&amp;$C1913,'Smelter Look-up'!$J:$J,0))</f>
        <v>#N/A</v>
      </c>
      <c r="W1913" s="276"/>
      <c r="X1913" s="276">
        <f t="shared" ca="1" si="268"/>
        <v>0</v>
      </c>
      <c r="Y1913" s="276"/>
      <c r="Z1913" s="276"/>
      <c r="AB1913" s="278" t="str">
        <f t="shared" si="269"/>
        <v/>
      </c>
    </row>
    <row r="1914" spans="1:28" s="277" customFormat="1" ht="20.25">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267"/>
        <v/>
      </c>
      <c r="T1914" s="225" t="str">
        <f ca="1">IF(B1914="","",IF(ISERROR(MATCH($J1914,SorP!$B$1:$B$6230,0)),"",INDIRECT("'SorP'!$A$"&amp;MATCH($J1914,SorP!$B$1:$B$6230,0))))</f>
        <v/>
      </c>
      <c r="U1914" s="241"/>
      <c r="V1914" s="275" t="e">
        <f>IF(C1914="",NA(),MATCH($B1914&amp;$C1914,'Smelter Look-up'!$J:$J,0))</f>
        <v>#N/A</v>
      </c>
      <c r="W1914" s="276"/>
      <c r="X1914" s="276">
        <f t="shared" ca="1" si="268"/>
        <v>0</v>
      </c>
      <c r="Y1914" s="276"/>
      <c r="Z1914" s="276"/>
      <c r="AB1914" s="278" t="str">
        <f t="shared" si="269"/>
        <v/>
      </c>
    </row>
    <row r="1915" spans="1:28" s="277" customFormat="1" ht="20.25">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ref="S1915" ca="1" si="270">IF(B1915="","",IF(ISERROR(MATCH($E1915,CL,0)),"Unknown",INDIRECT("'C'!$A$"&amp;MATCH($E1915,CL,0)+1)))</f>
        <v/>
      </c>
      <c r="T1915" s="225" t="str">
        <f ca="1">IF(B1915="","",IF(ISERROR(MATCH($J1915,SorP!$B$1:$B$6230,0)),"",INDIRECT("'SorP'!$A$"&amp;MATCH($J1915,SorP!$B$1:$B$6230,0))))</f>
        <v/>
      </c>
      <c r="U1915" s="241"/>
      <c r="V1915" s="275" t="e">
        <f>IF(C1915="",NA(),MATCH($B1915&amp;$C1915,'Smelter Look-up'!$J:$J,0))</f>
        <v>#N/A</v>
      </c>
      <c r="W1915" s="276"/>
      <c r="X1915" s="276">
        <f t="shared" ref="X1915" ca="1" si="271">IF(AND(C1915="Smelter not listed",OR(LEN(D1915)=0,LEN(E1915)=0)),1,0)</f>
        <v>0</v>
      </c>
      <c r="Y1915" s="276"/>
      <c r="Z1915" s="276"/>
      <c r="AB1915" s="278" t="str">
        <f t="shared" ref="AB1915" si="272">B1915&amp;C1915</f>
        <v/>
      </c>
    </row>
    <row r="1916" spans="1:28" s="277" customFormat="1" ht="20.25">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ref="S1916:S1947" ca="1" si="273">IF(B1916="","",IF(ISERROR(MATCH($E1916,CL,0)),"Unknown",INDIRECT("'C'!$A$"&amp;MATCH($E1916,CL,0)+1)))</f>
        <v/>
      </c>
      <c r="T1916" s="225" t="str">
        <f ca="1">IF(B1916="","",IF(ISERROR(MATCH($J1916,SorP!$B$1:$B$6230,0)),"",INDIRECT("'SorP'!$A$"&amp;MATCH($J1916,SorP!$B$1:$B$6230,0))))</f>
        <v/>
      </c>
      <c r="U1916" s="241"/>
      <c r="V1916" s="275" t="e">
        <f>IF(C1916="",NA(),MATCH($B1916&amp;$C1916,'Smelter Look-up'!$J:$J,0))</f>
        <v>#N/A</v>
      </c>
      <c r="W1916" s="276"/>
      <c r="X1916" s="276">
        <f t="shared" ref="X1916:X1947" ca="1" si="274">IF(AND(C1916="Smelter not listed",OR(LEN(D1916)=0,LEN(E1916)=0)),1,0)</f>
        <v>0</v>
      </c>
      <c r="Y1916" s="276"/>
      <c r="Z1916" s="276"/>
      <c r="AB1916" s="278" t="str">
        <f t="shared" ref="AB1916:AB1947" si="275">B1916&amp;C1916</f>
        <v/>
      </c>
    </row>
    <row r="1917" spans="1:28" s="277" customFormat="1" ht="20.25">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73"/>
        <v/>
      </c>
      <c r="T1917" s="225" t="str">
        <f ca="1">IF(B1917="","",IF(ISERROR(MATCH($J1917,SorP!$B$1:$B$6230,0)),"",INDIRECT("'SorP'!$A$"&amp;MATCH($J1917,SorP!$B$1:$B$6230,0))))</f>
        <v/>
      </c>
      <c r="U1917" s="241"/>
      <c r="V1917" s="275" t="e">
        <f>IF(C1917="",NA(),MATCH($B1917&amp;$C1917,'Smelter Look-up'!$J:$J,0))</f>
        <v>#N/A</v>
      </c>
      <c r="W1917" s="276"/>
      <c r="X1917" s="276">
        <f t="shared" ca="1" si="274"/>
        <v>0</v>
      </c>
      <c r="Y1917" s="276"/>
      <c r="Z1917" s="276"/>
      <c r="AB1917" s="278" t="str">
        <f t="shared" si="275"/>
        <v/>
      </c>
    </row>
    <row r="1918" spans="1:28" s="277" customFormat="1" ht="20.25">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73"/>
        <v/>
      </c>
      <c r="T1918" s="225" t="str">
        <f ca="1">IF(B1918="","",IF(ISERROR(MATCH($J1918,SorP!$B$1:$B$6230,0)),"",INDIRECT("'SorP'!$A$"&amp;MATCH($J1918,SorP!$B$1:$B$6230,0))))</f>
        <v/>
      </c>
      <c r="U1918" s="241"/>
      <c r="V1918" s="275" t="e">
        <f>IF(C1918="",NA(),MATCH($B1918&amp;$C1918,'Smelter Look-up'!$J:$J,0))</f>
        <v>#N/A</v>
      </c>
      <c r="W1918" s="276"/>
      <c r="X1918" s="276">
        <f t="shared" ca="1" si="274"/>
        <v>0</v>
      </c>
      <c r="Y1918" s="276"/>
      <c r="Z1918" s="276"/>
      <c r="AB1918" s="278" t="str">
        <f t="shared" si="275"/>
        <v/>
      </c>
    </row>
    <row r="1919" spans="1:28" s="277" customFormat="1" ht="20.25">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73"/>
        <v/>
      </c>
      <c r="T1919" s="225" t="str">
        <f ca="1">IF(B1919="","",IF(ISERROR(MATCH($J1919,SorP!$B$1:$B$6230,0)),"",INDIRECT("'SorP'!$A$"&amp;MATCH($J1919,SorP!$B$1:$B$6230,0))))</f>
        <v/>
      </c>
      <c r="U1919" s="241"/>
      <c r="V1919" s="275" t="e">
        <f>IF(C1919="",NA(),MATCH($B1919&amp;$C1919,'Smelter Look-up'!$J:$J,0))</f>
        <v>#N/A</v>
      </c>
      <c r="W1919" s="276"/>
      <c r="X1919" s="276">
        <f t="shared" ca="1" si="274"/>
        <v>0</v>
      </c>
      <c r="Y1919" s="276"/>
      <c r="Z1919" s="276"/>
      <c r="AB1919" s="278" t="str">
        <f t="shared" si="275"/>
        <v/>
      </c>
    </row>
    <row r="1920" spans="1:28" s="277" customFormat="1" ht="20.25">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73"/>
        <v/>
      </c>
      <c r="T1920" s="225" t="str">
        <f ca="1">IF(B1920="","",IF(ISERROR(MATCH($J1920,SorP!$B$1:$B$6230,0)),"",INDIRECT("'SorP'!$A$"&amp;MATCH($J1920,SorP!$B$1:$B$6230,0))))</f>
        <v/>
      </c>
      <c r="U1920" s="241"/>
      <c r="V1920" s="275" t="e">
        <f>IF(C1920="",NA(),MATCH($B1920&amp;$C1920,'Smelter Look-up'!$J:$J,0))</f>
        <v>#N/A</v>
      </c>
      <c r="W1920" s="276"/>
      <c r="X1920" s="276">
        <f t="shared" ca="1" si="274"/>
        <v>0</v>
      </c>
      <c r="Y1920" s="276"/>
      <c r="Z1920" s="276"/>
      <c r="AB1920" s="278" t="str">
        <f t="shared" si="275"/>
        <v/>
      </c>
    </row>
    <row r="1921" spans="1:28" s="277" customFormat="1" ht="20.25">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73"/>
        <v/>
      </c>
      <c r="T1921" s="225" t="str">
        <f ca="1">IF(B1921="","",IF(ISERROR(MATCH($J1921,SorP!$B$1:$B$6230,0)),"",INDIRECT("'SorP'!$A$"&amp;MATCH($J1921,SorP!$B$1:$B$6230,0))))</f>
        <v/>
      </c>
      <c r="U1921" s="241"/>
      <c r="V1921" s="275" t="e">
        <f>IF(C1921="",NA(),MATCH($B1921&amp;$C1921,'Smelter Look-up'!$J:$J,0))</f>
        <v>#N/A</v>
      </c>
      <c r="W1921" s="276"/>
      <c r="X1921" s="276">
        <f t="shared" ca="1" si="274"/>
        <v>0</v>
      </c>
      <c r="Y1921" s="276"/>
      <c r="Z1921" s="276"/>
      <c r="AB1921" s="278" t="str">
        <f t="shared" si="275"/>
        <v/>
      </c>
    </row>
    <row r="1922" spans="1:28" s="277" customFormat="1" ht="20.25">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73"/>
        <v/>
      </c>
      <c r="T1922" s="225" t="str">
        <f ca="1">IF(B1922="","",IF(ISERROR(MATCH($J1922,SorP!$B$1:$B$6230,0)),"",INDIRECT("'SorP'!$A$"&amp;MATCH($J1922,SorP!$B$1:$B$6230,0))))</f>
        <v/>
      </c>
      <c r="U1922" s="241"/>
      <c r="V1922" s="275" t="e">
        <f>IF(C1922="",NA(),MATCH($B1922&amp;$C1922,'Smelter Look-up'!$J:$J,0))</f>
        <v>#N/A</v>
      </c>
      <c r="W1922" s="276"/>
      <c r="X1922" s="276">
        <f t="shared" ca="1" si="274"/>
        <v>0</v>
      </c>
      <c r="Y1922" s="276"/>
      <c r="Z1922" s="276"/>
      <c r="AB1922" s="278" t="str">
        <f t="shared" si="275"/>
        <v/>
      </c>
    </row>
    <row r="1923" spans="1:28" s="277" customFormat="1" ht="20.25">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73"/>
        <v/>
      </c>
      <c r="T1923" s="225" t="str">
        <f ca="1">IF(B1923="","",IF(ISERROR(MATCH($J1923,SorP!$B$1:$B$6230,0)),"",INDIRECT("'SorP'!$A$"&amp;MATCH($J1923,SorP!$B$1:$B$6230,0))))</f>
        <v/>
      </c>
      <c r="U1923" s="241"/>
      <c r="V1923" s="275" t="e">
        <f>IF(C1923="",NA(),MATCH($B1923&amp;$C1923,'Smelter Look-up'!$J:$J,0))</f>
        <v>#N/A</v>
      </c>
      <c r="W1923" s="276"/>
      <c r="X1923" s="276">
        <f t="shared" ca="1" si="274"/>
        <v>0</v>
      </c>
      <c r="Y1923" s="276"/>
      <c r="Z1923" s="276"/>
      <c r="AB1923" s="278" t="str">
        <f t="shared" si="275"/>
        <v/>
      </c>
    </row>
    <row r="1924" spans="1:28" s="277" customFormat="1" ht="20.25">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73"/>
        <v/>
      </c>
      <c r="T1924" s="225" t="str">
        <f ca="1">IF(B1924="","",IF(ISERROR(MATCH($J1924,SorP!$B$1:$B$6230,0)),"",INDIRECT("'SorP'!$A$"&amp;MATCH($J1924,SorP!$B$1:$B$6230,0))))</f>
        <v/>
      </c>
      <c r="U1924" s="241"/>
      <c r="V1924" s="275" t="e">
        <f>IF(C1924="",NA(),MATCH($B1924&amp;$C1924,'Smelter Look-up'!$J:$J,0))</f>
        <v>#N/A</v>
      </c>
      <c r="W1924" s="276"/>
      <c r="X1924" s="276">
        <f t="shared" ca="1" si="274"/>
        <v>0</v>
      </c>
      <c r="Y1924" s="276"/>
      <c r="Z1924" s="276"/>
      <c r="AB1924" s="278" t="str">
        <f t="shared" si="275"/>
        <v/>
      </c>
    </row>
    <row r="1925" spans="1:28" s="277" customFormat="1" ht="20.25">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73"/>
        <v/>
      </c>
      <c r="T1925" s="225" t="str">
        <f ca="1">IF(B1925="","",IF(ISERROR(MATCH($J1925,SorP!$B$1:$B$6230,0)),"",INDIRECT("'SorP'!$A$"&amp;MATCH($J1925,SorP!$B$1:$B$6230,0))))</f>
        <v/>
      </c>
      <c r="U1925" s="241"/>
      <c r="V1925" s="275" t="e">
        <f>IF(C1925="",NA(),MATCH($B1925&amp;$C1925,'Smelter Look-up'!$J:$J,0))</f>
        <v>#N/A</v>
      </c>
      <c r="W1925" s="276"/>
      <c r="X1925" s="276">
        <f t="shared" ca="1" si="274"/>
        <v>0</v>
      </c>
      <c r="Y1925" s="276"/>
      <c r="Z1925" s="276"/>
      <c r="AB1925" s="278" t="str">
        <f t="shared" si="275"/>
        <v/>
      </c>
    </row>
    <row r="1926" spans="1:28" s="277" customFormat="1" ht="20.25">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73"/>
        <v/>
      </c>
      <c r="T1926" s="225" t="str">
        <f ca="1">IF(B1926="","",IF(ISERROR(MATCH($J1926,SorP!$B$1:$B$6230,0)),"",INDIRECT("'SorP'!$A$"&amp;MATCH($J1926,SorP!$B$1:$B$6230,0))))</f>
        <v/>
      </c>
      <c r="U1926" s="241"/>
      <c r="V1926" s="275" t="e">
        <f>IF(C1926="",NA(),MATCH($B1926&amp;$C1926,'Smelter Look-up'!$J:$J,0))</f>
        <v>#N/A</v>
      </c>
      <c r="W1926" s="276"/>
      <c r="X1926" s="276">
        <f t="shared" ca="1" si="274"/>
        <v>0</v>
      </c>
      <c r="Y1926" s="276"/>
      <c r="Z1926" s="276"/>
      <c r="AB1926" s="278" t="str">
        <f t="shared" si="275"/>
        <v/>
      </c>
    </row>
    <row r="1927" spans="1:28" s="277" customFormat="1" ht="20.25">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73"/>
        <v/>
      </c>
      <c r="T1927" s="225" t="str">
        <f ca="1">IF(B1927="","",IF(ISERROR(MATCH($J1927,SorP!$B$1:$B$6230,0)),"",INDIRECT("'SorP'!$A$"&amp;MATCH($J1927,SorP!$B$1:$B$6230,0))))</f>
        <v/>
      </c>
      <c r="U1927" s="241"/>
      <c r="V1927" s="275" t="e">
        <f>IF(C1927="",NA(),MATCH($B1927&amp;$C1927,'Smelter Look-up'!$J:$J,0))</f>
        <v>#N/A</v>
      </c>
      <c r="W1927" s="276"/>
      <c r="X1927" s="276">
        <f t="shared" ca="1" si="274"/>
        <v>0</v>
      </c>
      <c r="Y1927" s="276"/>
      <c r="Z1927" s="276"/>
      <c r="AB1927" s="278" t="str">
        <f t="shared" si="275"/>
        <v/>
      </c>
    </row>
    <row r="1928" spans="1:28" s="277" customFormat="1" ht="20.25">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73"/>
        <v/>
      </c>
      <c r="T1928" s="225" t="str">
        <f ca="1">IF(B1928="","",IF(ISERROR(MATCH($J1928,SorP!$B$1:$B$6230,0)),"",INDIRECT("'SorP'!$A$"&amp;MATCH($J1928,SorP!$B$1:$B$6230,0))))</f>
        <v/>
      </c>
      <c r="U1928" s="241"/>
      <c r="V1928" s="275" t="e">
        <f>IF(C1928="",NA(),MATCH($B1928&amp;$C1928,'Smelter Look-up'!$J:$J,0))</f>
        <v>#N/A</v>
      </c>
      <c r="W1928" s="276"/>
      <c r="X1928" s="276">
        <f t="shared" ca="1" si="274"/>
        <v>0</v>
      </c>
      <c r="Y1928" s="276"/>
      <c r="Z1928" s="276"/>
      <c r="AB1928" s="278" t="str">
        <f t="shared" si="275"/>
        <v/>
      </c>
    </row>
    <row r="1929" spans="1:28" s="277" customFormat="1" ht="20.25">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73"/>
        <v/>
      </c>
      <c r="T1929" s="225" t="str">
        <f ca="1">IF(B1929="","",IF(ISERROR(MATCH($J1929,SorP!$B$1:$B$6230,0)),"",INDIRECT("'SorP'!$A$"&amp;MATCH($J1929,SorP!$B$1:$B$6230,0))))</f>
        <v/>
      </c>
      <c r="U1929" s="241"/>
      <c r="V1929" s="275" t="e">
        <f>IF(C1929="",NA(),MATCH($B1929&amp;$C1929,'Smelter Look-up'!$J:$J,0))</f>
        <v>#N/A</v>
      </c>
      <c r="W1929" s="276"/>
      <c r="X1929" s="276">
        <f t="shared" ca="1" si="274"/>
        <v>0</v>
      </c>
      <c r="Y1929" s="276"/>
      <c r="Z1929" s="276"/>
      <c r="AB1929" s="278" t="str">
        <f t="shared" si="275"/>
        <v/>
      </c>
    </row>
    <row r="1930" spans="1:28" s="277" customFormat="1" ht="20.25">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73"/>
        <v/>
      </c>
      <c r="T1930" s="225" t="str">
        <f ca="1">IF(B1930="","",IF(ISERROR(MATCH($J1930,SorP!$B$1:$B$6230,0)),"",INDIRECT("'SorP'!$A$"&amp;MATCH($J1930,SorP!$B$1:$B$6230,0))))</f>
        <v/>
      </c>
      <c r="U1930" s="241"/>
      <c r="V1930" s="275" t="e">
        <f>IF(C1930="",NA(),MATCH($B1930&amp;$C1930,'Smelter Look-up'!$J:$J,0))</f>
        <v>#N/A</v>
      </c>
      <c r="W1930" s="276"/>
      <c r="X1930" s="276">
        <f t="shared" ca="1" si="274"/>
        <v>0</v>
      </c>
      <c r="Y1930" s="276"/>
      <c r="Z1930" s="276"/>
      <c r="AB1930" s="278" t="str">
        <f t="shared" si="275"/>
        <v/>
      </c>
    </row>
    <row r="1931" spans="1:28" s="277" customFormat="1" ht="20.25">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73"/>
        <v/>
      </c>
      <c r="T1931" s="225" t="str">
        <f ca="1">IF(B1931="","",IF(ISERROR(MATCH($J1931,SorP!$B$1:$B$6230,0)),"",INDIRECT("'SorP'!$A$"&amp;MATCH($J1931,SorP!$B$1:$B$6230,0))))</f>
        <v/>
      </c>
      <c r="U1931" s="241"/>
      <c r="V1931" s="275" t="e">
        <f>IF(C1931="",NA(),MATCH($B1931&amp;$C1931,'Smelter Look-up'!$J:$J,0))</f>
        <v>#N/A</v>
      </c>
      <c r="W1931" s="276"/>
      <c r="X1931" s="276">
        <f t="shared" ca="1" si="274"/>
        <v>0</v>
      </c>
      <c r="Y1931" s="276"/>
      <c r="Z1931" s="276"/>
      <c r="AB1931" s="278" t="str">
        <f t="shared" si="275"/>
        <v/>
      </c>
    </row>
    <row r="1932" spans="1:28" s="277" customFormat="1" ht="20.25">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73"/>
        <v/>
      </c>
      <c r="T1932" s="225" t="str">
        <f ca="1">IF(B1932="","",IF(ISERROR(MATCH($J1932,SorP!$B$1:$B$6230,0)),"",INDIRECT("'SorP'!$A$"&amp;MATCH($J1932,SorP!$B$1:$B$6230,0))))</f>
        <v/>
      </c>
      <c r="U1932" s="241"/>
      <c r="V1932" s="275" t="e">
        <f>IF(C1932="",NA(),MATCH($B1932&amp;$C1932,'Smelter Look-up'!$J:$J,0))</f>
        <v>#N/A</v>
      </c>
      <c r="W1932" s="276"/>
      <c r="X1932" s="276">
        <f t="shared" ca="1" si="274"/>
        <v>0</v>
      </c>
      <c r="Y1932" s="276"/>
      <c r="Z1932" s="276"/>
      <c r="AB1932" s="278" t="str">
        <f t="shared" si="275"/>
        <v/>
      </c>
    </row>
    <row r="1933" spans="1:28" s="277" customFormat="1" ht="20.25">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73"/>
        <v/>
      </c>
      <c r="T1933" s="225" t="str">
        <f ca="1">IF(B1933="","",IF(ISERROR(MATCH($J1933,SorP!$B$1:$B$6230,0)),"",INDIRECT("'SorP'!$A$"&amp;MATCH($J1933,SorP!$B$1:$B$6230,0))))</f>
        <v/>
      </c>
      <c r="U1933" s="241"/>
      <c r="V1933" s="275" t="e">
        <f>IF(C1933="",NA(),MATCH($B1933&amp;$C1933,'Smelter Look-up'!$J:$J,0))</f>
        <v>#N/A</v>
      </c>
      <c r="W1933" s="276"/>
      <c r="X1933" s="276">
        <f t="shared" ca="1" si="274"/>
        <v>0</v>
      </c>
      <c r="Y1933" s="276"/>
      <c r="Z1933" s="276"/>
      <c r="AB1933" s="278" t="str">
        <f t="shared" si="275"/>
        <v/>
      </c>
    </row>
    <row r="1934" spans="1:28" s="277" customFormat="1" ht="20.25">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73"/>
        <v/>
      </c>
      <c r="T1934" s="225" t="str">
        <f ca="1">IF(B1934="","",IF(ISERROR(MATCH($J1934,SorP!$B$1:$B$6230,0)),"",INDIRECT("'SorP'!$A$"&amp;MATCH($J1934,SorP!$B$1:$B$6230,0))))</f>
        <v/>
      </c>
      <c r="U1934" s="241"/>
      <c r="V1934" s="275" t="e">
        <f>IF(C1934="",NA(),MATCH($B1934&amp;$C1934,'Smelter Look-up'!$J:$J,0))</f>
        <v>#N/A</v>
      </c>
      <c r="W1934" s="276"/>
      <c r="X1934" s="276">
        <f t="shared" ca="1" si="274"/>
        <v>0</v>
      </c>
      <c r="Y1934" s="276"/>
      <c r="Z1934" s="276"/>
      <c r="AB1934" s="278" t="str">
        <f t="shared" si="275"/>
        <v/>
      </c>
    </row>
    <row r="1935" spans="1:28" s="277" customFormat="1" ht="20.25">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73"/>
        <v/>
      </c>
      <c r="T1935" s="225" t="str">
        <f ca="1">IF(B1935="","",IF(ISERROR(MATCH($J1935,SorP!$B$1:$B$6230,0)),"",INDIRECT("'SorP'!$A$"&amp;MATCH($J1935,SorP!$B$1:$B$6230,0))))</f>
        <v/>
      </c>
      <c r="U1935" s="241"/>
      <c r="V1935" s="275" t="e">
        <f>IF(C1935="",NA(),MATCH($B1935&amp;$C1935,'Smelter Look-up'!$J:$J,0))</f>
        <v>#N/A</v>
      </c>
      <c r="W1935" s="276"/>
      <c r="X1935" s="276">
        <f t="shared" ca="1" si="274"/>
        <v>0</v>
      </c>
      <c r="Y1935" s="276"/>
      <c r="Z1935" s="276"/>
      <c r="AB1935" s="278" t="str">
        <f t="shared" si="275"/>
        <v/>
      </c>
    </row>
    <row r="1936" spans="1:28" s="277" customFormat="1" ht="20.25">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273"/>
        <v/>
      </c>
      <c r="T1936" s="225" t="str">
        <f ca="1">IF(B1936="","",IF(ISERROR(MATCH($J1936,SorP!$B$1:$B$6230,0)),"",INDIRECT("'SorP'!$A$"&amp;MATCH($J1936,SorP!$B$1:$B$6230,0))))</f>
        <v/>
      </c>
      <c r="U1936" s="241"/>
      <c r="V1936" s="275" t="e">
        <f>IF(C1936="",NA(),MATCH($B1936&amp;$C1936,'Smelter Look-up'!$J:$J,0))</f>
        <v>#N/A</v>
      </c>
      <c r="W1936" s="276"/>
      <c r="X1936" s="276">
        <f t="shared" ca="1" si="274"/>
        <v>0</v>
      </c>
      <c r="Y1936" s="276"/>
      <c r="Z1936" s="276"/>
      <c r="AB1936" s="278" t="str">
        <f t="shared" si="275"/>
        <v/>
      </c>
    </row>
    <row r="1937" spans="1:28" s="277" customFormat="1" ht="20.25">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73"/>
        <v/>
      </c>
      <c r="T1937" s="225" t="str">
        <f ca="1">IF(B1937="","",IF(ISERROR(MATCH($J1937,SorP!$B$1:$B$6230,0)),"",INDIRECT("'SorP'!$A$"&amp;MATCH($J1937,SorP!$B$1:$B$6230,0))))</f>
        <v/>
      </c>
      <c r="U1937" s="241"/>
      <c r="V1937" s="275" t="e">
        <f>IF(C1937="",NA(),MATCH($B1937&amp;$C1937,'Smelter Look-up'!$J:$J,0))</f>
        <v>#N/A</v>
      </c>
      <c r="W1937" s="276"/>
      <c r="X1937" s="276">
        <f t="shared" ca="1" si="274"/>
        <v>0</v>
      </c>
      <c r="Y1937" s="276"/>
      <c r="Z1937" s="276"/>
      <c r="AB1937" s="278" t="str">
        <f t="shared" si="275"/>
        <v/>
      </c>
    </row>
    <row r="1938" spans="1:28" s="277" customFormat="1" ht="20.25">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273"/>
        <v/>
      </c>
      <c r="T1938" s="225" t="str">
        <f ca="1">IF(B1938="","",IF(ISERROR(MATCH($J1938,SorP!$B$1:$B$6230,0)),"",INDIRECT("'SorP'!$A$"&amp;MATCH($J1938,SorP!$B$1:$B$6230,0))))</f>
        <v/>
      </c>
      <c r="U1938" s="241"/>
      <c r="V1938" s="275" t="e">
        <f>IF(C1938="",NA(),MATCH($B1938&amp;$C1938,'Smelter Look-up'!$J:$J,0))</f>
        <v>#N/A</v>
      </c>
      <c r="W1938" s="276"/>
      <c r="X1938" s="276">
        <f t="shared" ca="1" si="274"/>
        <v>0</v>
      </c>
      <c r="Y1938" s="276"/>
      <c r="Z1938" s="276"/>
      <c r="AB1938" s="278" t="str">
        <f t="shared" si="275"/>
        <v/>
      </c>
    </row>
    <row r="1939" spans="1:28" s="277" customFormat="1" ht="20.25">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73"/>
        <v/>
      </c>
      <c r="T1939" s="225" t="str">
        <f ca="1">IF(B1939="","",IF(ISERROR(MATCH($J1939,SorP!$B$1:$B$6230,0)),"",INDIRECT("'SorP'!$A$"&amp;MATCH($J1939,SorP!$B$1:$B$6230,0))))</f>
        <v/>
      </c>
      <c r="U1939" s="241"/>
      <c r="V1939" s="275" t="e">
        <f>IF(C1939="",NA(),MATCH($B1939&amp;$C1939,'Smelter Look-up'!$J:$J,0))</f>
        <v>#N/A</v>
      </c>
      <c r="W1939" s="276"/>
      <c r="X1939" s="276">
        <f t="shared" ca="1" si="274"/>
        <v>0</v>
      </c>
      <c r="Y1939" s="276"/>
      <c r="Z1939" s="276"/>
      <c r="AB1939" s="278" t="str">
        <f t="shared" si="275"/>
        <v/>
      </c>
    </row>
    <row r="1940" spans="1:28" s="277" customFormat="1" ht="20.25">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73"/>
        <v/>
      </c>
      <c r="T1940" s="225" t="str">
        <f ca="1">IF(B1940="","",IF(ISERROR(MATCH($J1940,SorP!$B$1:$B$6230,0)),"",INDIRECT("'SorP'!$A$"&amp;MATCH($J1940,SorP!$B$1:$B$6230,0))))</f>
        <v/>
      </c>
      <c r="U1940" s="241"/>
      <c r="V1940" s="275" t="e">
        <f>IF(C1940="",NA(),MATCH($B1940&amp;$C1940,'Smelter Look-up'!$J:$J,0))</f>
        <v>#N/A</v>
      </c>
      <c r="W1940" s="276"/>
      <c r="X1940" s="276">
        <f t="shared" ca="1" si="274"/>
        <v>0</v>
      </c>
      <c r="Y1940" s="276"/>
      <c r="Z1940" s="276"/>
      <c r="AB1940" s="278" t="str">
        <f t="shared" si="275"/>
        <v/>
      </c>
    </row>
    <row r="1941" spans="1:28" s="277" customFormat="1" ht="20.25">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73"/>
        <v/>
      </c>
      <c r="T1941" s="225" t="str">
        <f ca="1">IF(B1941="","",IF(ISERROR(MATCH($J1941,SorP!$B$1:$B$6230,0)),"",INDIRECT("'SorP'!$A$"&amp;MATCH($J1941,SorP!$B$1:$B$6230,0))))</f>
        <v/>
      </c>
      <c r="U1941" s="241"/>
      <c r="V1941" s="275" t="e">
        <f>IF(C1941="",NA(),MATCH($B1941&amp;$C1941,'Smelter Look-up'!$J:$J,0))</f>
        <v>#N/A</v>
      </c>
      <c r="W1941" s="276"/>
      <c r="X1941" s="276">
        <f t="shared" ca="1" si="274"/>
        <v>0</v>
      </c>
      <c r="Y1941" s="276"/>
      <c r="Z1941" s="276"/>
      <c r="AB1941" s="278" t="str">
        <f t="shared" si="275"/>
        <v/>
      </c>
    </row>
    <row r="1942" spans="1:28" s="277" customFormat="1" ht="20.25">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73"/>
        <v/>
      </c>
      <c r="T1942" s="225" t="str">
        <f ca="1">IF(B1942="","",IF(ISERROR(MATCH($J1942,SorP!$B$1:$B$6230,0)),"",INDIRECT("'SorP'!$A$"&amp;MATCH($J1942,SorP!$B$1:$B$6230,0))))</f>
        <v/>
      </c>
      <c r="U1942" s="241"/>
      <c r="V1942" s="275" t="e">
        <f>IF(C1942="",NA(),MATCH($B1942&amp;$C1942,'Smelter Look-up'!$J:$J,0))</f>
        <v>#N/A</v>
      </c>
      <c r="W1942" s="276"/>
      <c r="X1942" s="276">
        <f t="shared" ca="1" si="274"/>
        <v>0</v>
      </c>
      <c r="Y1942" s="276"/>
      <c r="Z1942" s="276"/>
      <c r="AB1942" s="278" t="str">
        <f t="shared" si="275"/>
        <v/>
      </c>
    </row>
    <row r="1943" spans="1:28" s="277" customFormat="1" ht="20.25">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73"/>
        <v/>
      </c>
      <c r="T1943" s="225" t="str">
        <f ca="1">IF(B1943="","",IF(ISERROR(MATCH($J1943,SorP!$B$1:$B$6230,0)),"",INDIRECT("'SorP'!$A$"&amp;MATCH($J1943,SorP!$B$1:$B$6230,0))))</f>
        <v/>
      </c>
      <c r="U1943" s="241"/>
      <c r="V1943" s="275" t="e">
        <f>IF(C1943="",NA(),MATCH($B1943&amp;$C1943,'Smelter Look-up'!$J:$J,0))</f>
        <v>#N/A</v>
      </c>
      <c r="W1943" s="276"/>
      <c r="X1943" s="276">
        <f t="shared" ca="1" si="274"/>
        <v>0</v>
      </c>
      <c r="Y1943" s="276"/>
      <c r="Z1943" s="276"/>
      <c r="AB1943" s="278" t="str">
        <f t="shared" si="275"/>
        <v/>
      </c>
    </row>
    <row r="1944" spans="1:28" s="277" customFormat="1" ht="20.25">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73"/>
        <v/>
      </c>
      <c r="T1944" s="225" t="str">
        <f ca="1">IF(B1944="","",IF(ISERROR(MATCH($J1944,SorP!$B$1:$B$6230,0)),"",INDIRECT("'SorP'!$A$"&amp;MATCH($J1944,SorP!$B$1:$B$6230,0))))</f>
        <v/>
      </c>
      <c r="U1944" s="241"/>
      <c r="V1944" s="275" t="e">
        <f>IF(C1944="",NA(),MATCH($B1944&amp;$C1944,'Smelter Look-up'!$J:$J,0))</f>
        <v>#N/A</v>
      </c>
      <c r="W1944" s="276"/>
      <c r="X1944" s="276">
        <f t="shared" ca="1" si="274"/>
        <v>0</v>
      </c>
      <c r="Y1944" s="276"/>
      <c r="Z1944" s="276"/>
      <c r="AB1944" s="278" t="str">
        <f t="shared" si="275"/>
        <v/>
      </c>
    </row>
    <row r="1945" spans="1:28" s="277" customFormat="1" ht="20.25">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73"/>
        <v/>
      </c>
      <c r="T1945" s="225" t="str">
        <f ca="1">IF(B1945="","",IF(ISERROR(MATCH($J1945,SorP!$B$1:$B$6230,0)),"",INDIRECT("'SorP'!$A$"&amp;MATCH($J1945,SorP!$B$1:$B$6230,0))))</f>
        <v/>
      </c>
      <c r="U1945" s="241"/>
      <c r="V1945" s="275" t="e">
        <f>IF(C1945="",NA(),MATCH($B1945&amp;$C1945,'Smelter Look-up'!$J:$J,0))</f>
        <v>#N/A</v>
      </c>
      <c r="W1945" s="276"/>
      <c r="X1945" s="276">
        <f t="shared" ca="1" si="274"/>
        <v>0</v>
      </c>
      <c r="Y1945" s="276"/>
      <c r="Z1945" s="276"/>
      <c r="AB1945" s="278" t="str">
        <f t="shared" si="275"/>
        <v/>
      </c>
    </row>
    <row r="1946" spans="1:28" s="277" customFormat="1" ht="20.25">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73"/>
        <v/>
      </c>
      <c r="T1946" s="225" t="str">
        <f ca="1">IF(B1946="","",IF(ISERROR(MATCH($J1946,SorP!$B$1:$B$6230,0)),"",INDIRECT("'SorP'!$A$"&amp;MATCH($J1946,SorP!$B$1:$B$6230,0))))</f>
        <v/>
      </c>
      <c r="U1946" s="241"/>
      <c r="V1946" s="275" t="e">
        <f>IF(C1946="",NA(),MATCH($B1946&amp;$C1946,'Smelter Look-up'!$J:$J,0))</f>
        <v>#N/A</v>
      </c>
      <c r="W1946" s="276"/>
      <c r="X1946" s="276">
        <f t="shared" ca="1" si="274"/>
        <v>0</v>
      </c>
      <c r="Y1946" s="276"/>
      <c r="Z1946" s="276"/>
      <c r="AB1946" s="278" t="str">
        <f t="shared" si="275"/>
        <v/>
      </c>
    </row>
    <row r="1947" spans="1:28" s="277" customFormat="1" ht="20.25">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273"/>
        <v/>
      </c>
      <c r="T1947" s="225" t="str">
        <f ca="1">IF(B1947="","",IF(ISERROR(MATCH($J1947,SorP!$B$1:$B$6230,0)),"",INDIRECT("'SorP'!$A$"&amp;MATCH($J1947,SorP!$B$1:$B$6230,0))))</f>
        <v/>
      </c>
      <c r="U1947" s="241"/>
      <c r="V1947" s="275" t="e">
        <f>IF(C1947="",NA(),MATCH($B1947&amp;$C1947,'Smelter Look-up'!$J:$J,0))</f>
        <v>#N/A</v>
      </c>
      <c r="W1947" s="276"/>
      <c r="X1947" s="276">
        <f t="shared" ca="1" si="274"/>
        <v>0</v>
      </c>
      <c r="Y1947" s="276"/>
      <c r="Z1947" s="276"/>
      <c r="AB1947" s="278" t="str">
        <f t="shared" si="275"/>
        <v/>
      </c>
    </row>
    <row r="1948" spans="1:28" s="277" customFormat="1" ht="20.25">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ref="S1948:S1978" ca="1" si="276">IF(B1948="","",IF(ISERROR(MATCH($E1948,CL,0)),"Unknown",INDIRECT("'C'!$A$"&amp;MATCH($E1948,CL,0)+1)))</f>
        <v/>
      </c>
      <c r="T1948" s="225" t="str">
        <f ca="1">IF(B1948="","",IF(ISERROR(MATCH($J1948,SorP!$B$1:$B$6230,0)),"",INDIRECT("'SorP'!$A$"&amp;MATCH($J1948,SorP!$B$1:$B$6230,0))))</f>
        <v/>
      </c>
      <c r="U1948" s="241"/>
      <c r="V1948" s="275" t="e">
        <f>IF(C1948="",NA(),MATCH($B1948&amp;$C1948,'Smelter Look-up'!$J:$J,0))</f>
        <v>#N/A</v>
      </c>
      <c r="W1948" s="276"/>
      <c r="X1948" s="276">
        <f t="shared" ref="X1948:X1978" ca="1" si="277">IF(AND(C1948="Smelter not listed",OR(LEN(D1948)=0,LEN(E1948)=0)),1,0)</f>
        <v>0</v>
      </c>
      <c r="Y1948" s="276"/>
      <c r="Z1948" s="276"/>
      <c r="AB1948" s="278" t="str">
        <f t="shared" ref="AB1948:AB1978" si="278">B1948&amp;C1948</f>
        <v/>
      </c>
    </row>
    <row r="1949" spans="1:28" s="277" customFormat="1" ht="20.25">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76"/>
        <v/>
      </c>
      <c r="T1949" s="225" t="str">
        <f ca="1">IF(B1949="","",IF(ISERROR(MATCH($J1949,SorP!$B$1:$B$6230,0)),"",INDIRECT("'SorP'!$A$"&amp;MATCH($J1949,SorP!$B$1:$B$6230,0))))</f>
        <v/>
      </c>
      <c r="U1949" s="241"/>
      <c r="V1949" s="275" t="e">
        <f>IF(C1949="",NA(),MATCH($B1949&amp;$C1949,'Smelter Look-up'!$J:$J,0))</f>
        <v>#N/A</v>
      </c>
      <c r="W1949" s="276"/>
      <c r="X1949" s="276">
        <f t="shared" ca="1" si="277"/>
        <v>0</v>
      </c>
      <c r="Y1949" s="276"/>
      <c r="Z1949" s="276"/>
      <c r="AB1949" s="278" t="str">
        <f t="shared" si="278"/>
        <v/>
      </c>
    </row>
    <row r="1950" spans="1:28" s="277" customFormat="1" ht="20.25">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76"/>
        <v/>
      </c>
      <c r="T1950" s="225" t="str">
        <f ca="1">IF(B1950="","",IF(ISERROR(MATCH($J1950,SorP!$B$1:$B$6230,0)),"",INDIRECT("'SorP'!$A$"&amp;MATCH($J1950,SorP!$B$1:$B$6230,0))))</f>
        <v/>
      </c>
      <c r="U1950" s="241"/>
      <c r="V1950" s="275" t="e">
        <f>IF(C1950="",NA(),MATCH($B1950&amp;$C1950,'Smelter Look-up'!$J:$J,0))</f>
        <v>#N/A</v>
      </c>
      <c r="W1950" s="276"/>
      <c r="X1950" s="276">
        <f t="shared" ca="1" si="277"/>
        <v>0</v>
      </c>
      <c r="Y1950" s="276"/>
      <c r="Z1950" s="276"/>
      <c r="AB1950" s="278" t="str">
        <f t="shared" si="278"/>
        <v/>
      </c>
    </row>
    <row r="1951" spans="1:28" s="277" customFormat="1" ht="20.25">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76"/>
        <v/>
      </c>
      <c r="T1951" s="225" t="str">
        <f ca="1">IF(B1951="","",IF(ISERROR(MATCH($J1951,SorP!$B$1:$B$6230,0)),"",INDIRECT("'SorP'!$A$"&amp;MATCH($J1951,SorP!$B$1:$B$6230,0))))</f>
        <v/>
      </c>
      <c r="U1951" s="241"/>
      <c r="V1951" s="275" t="e">
        <f>IF(C1951="",NA(),MATCH($B1951&amp;$C1951,'Smelter Look-up'!$J:$J,0))</f>
        <v>#N/A</v>
      </c>
      <c r="W1951" s="276"/>
      <c r="X1951" s="276">
        <f t="shared" ca="1" si="277"/>
        <v>0</v>
      </c>
      <c r="Y1951" s="276"/>
      <c r="Z1951" s="276"/>
      <c r="AB1951" s="278" t="str">
        <f t="shared" si="278"/>
        <v/>
      </c>
    </row>
    <row r="1952" spans="1:28" s="277" customFormat="1" ht="20.25">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76"/>
        <v/>
      </c>
      <c r="T1952" s="225" t="str">
        <f ca="1">IF(B1952="","",IF(ISERROR(MATCH($J1952,SorP!$B$1:$B$6230,0)),"",INDIRECT("'SorP'!$A$"&amp;MATCH($J1952,SorP!$B$1:$B$6230,0))))</f>
        <v/>
      </c>
      <c r="U1952" s="241"/>
      <c r="V1952" s="275" t="e">
        <f>IF(C1952="",NA(),MATCH($B1952&amp;$C1952,'Smelter Look-up'!$J:$J,0))</f>
        <v>#N/A</v>
      </c>
      <c r="W1952" s="276"/>
      <c r="X1952" s="276">
        <f t="shared" ca="1" si="277"/>
        <v>0</v>
      </c>
      <c r="Y1952" s="276"/>
      <c r="Z1952" s="276"/>
      <c r="AB1952" s="278" t="str">
        <f t="shared" si="278"/>
        <v/>
      </c>
    </row>
    <row r="1953" spans="1:28" s="277" customFormat="1" ht="20.25">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76"/>
        <v/>
      </c>
      <c r="T1953" s="225" t="str">
        <f ca="1">IF(B1953="","",IF(ISERROR(MATCH($J1953,SorP!$B$1:$B$6230,0)),"",INDIRECT("'SorP'!$A$"&amp;MATCH($J1953,SorP!$B$1:$B$6230,0))))</f>
        <v/>
      </c>
      <c r="U1953" s="241"/>
      <c r="V1953" s="275" t="e">
        <f>IF(C1953="",NA(),MATCH($B1953&amp;$C1953,'Smelter Look-up'!$J:$J,0))</f>
        <v>#N/A</v>
      </c>
      <c r="W1953" s="276"/>
      <c r="X1953" s="276">
        <f t="shared" ca="1" si="277"/>
        <v>0</v>
      </c>
      <c r="Y1953" s="276"/>
      <c r="Z1953" s="276"/>
      <c r="AB1953" s="278" t="str">
        <f t="shared" si="278"/>
        <v/>
      </c>
    </row>
    <row r="1954" spans="1:28" s="277" customFormat="1" ht="20.25">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76"/>
        <v/>
      </c>
      <c r="T1954" s="225" t="str">
        <f ca="1">IF(B1954="","",IF(ISERROR(MATCH($J1954,SorP!$B$1:$B$6230,0)),"",INDIRECT("'SorP'!$A$"&amp;MATCH($J1954,SorP!$B$1:$B$6230,0))))</f>
        <v/>
      </c>
      <c r="U1954" s="241"/>
      <c r="V1954" s="275" t="e">
        <f>IF(C1954="",NA(),MATCH($B1954&amp;$C1954,'Smelter Look-up'!$J:$J,0))</f>
        <v>#N/A</v>
      </c>
      <c r="W1954" s="276"/>
      <c r="X1954" s="276">
        <f t="shared" ca="1" si="277"/>
        <v>0</v>
      </c>
      <c r="Y1954" s="276"/>
      <c r="Z1954" s="276"/>
      <c r="AB1954" s="278" t="str">
        <f t="shared" si="278"/>
        <v/>
      </c>
    </row>
    <row r="1955" spans="1:28" s="277" customFormat="1" ht="20.25">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76"/>
        <v/>
      </c>
      <c r="T1955" s="225" t="str">
        <f ca="1">IF(B1955="","",IF(ISERROR(MATCH($J1955,SorP!$B$1:$B$6230,0)),"",INDIRECT("'SorP'!$A$"&amp;MATCH($J1955,SorP!$B$1:$B$6230,0))))</f>
        <v/>
      </c>
      <c r="U1955" s="241"/>
      <c r="V1955" s="275" t="e">
        <f>IF(C1955="",NA(),MATCH($B1955&amp;$C1955,'Smelter Look-up'!$J:$J,0))</f>
        <v>#N/A</v>
      </c>
      <c r="W1955" s="276"/>
      <c r="X1955" s="276">
        <f t="shared" ca="1" si="277"/>
        <v>0</v>
      </c>
      <c r="Y1955" s="276"/>
      <c r="Z1955" s="276"/>
      <c r="AB1955" s="278" t="str">
        <f t="shared" si="278"/>
        <v/>
      </c>
    </row>
    <row r="1956" spans="1:28" s="277" customFormat="1" ht="20.25">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76"/>
        <v/>
      </c>
      <c r="T1956" s="225" t="str">
        <f ca="1">IF(B1956="","",IF(ISERROR(MATCH($J1956,SorP!$B$1:$B$6230,0)),"",INDIRECT("'SorP'!$A$"&amp;MATCH($J1956,SorP!$B$1:$B$6230,0))))</f>
        <v/>
      </c>
      <c r="U1956" s="241"/>
      <c r="V1956" s="275" t="e">
        <f>IF(C1956="",NA(),MATCH($B1956&amp;$C1956,'Smelter Look-up'!$J:$J,0))</f>
        <v>#N/A</v>
      </c>
      <c r="W1956" s="276"/>
      <c r="X1956" s="276">
        <f t="shared" ca="1" si="277"/>
        <v>0</v>
      </c>
      <c r="Y1956" s="276"/>
      <c r="Z1956" s="276"/>
      <c r="AB1956" s="278" t="str">
        <f t="shared" si="278"/>
        <v/>
      </c>
    </row>
    <row r="1957" spans="1:28" s="277" customFormat="1" ht="20.25">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76"/>
        <v/>
      </c>
      <c r="T1957" s="225" t="str">
        <f ca="1">IF(B1957="","",IF(ISERROR(MATCH($J1957,SorP!$B$1:$B$6230,0)),"",INDIRECT("'SorP'!$A$"&amp;MATCH($J1957,SorP!$B$1:$B$6230,0))))</f>
        <v/>
      </c>
      <c r="U1957" s="241"/>
      <c r="V1957" s="275" t="e">
        <f>IF(C1957="",NA(),MATCH($B1957&amp;$C1957,'Smelter Look-up'!$J:$J,0))</f>
        <v>#N/A</v>
      </c>
      <c r="W1957" s="276"/>
      <c r="X1957" s="276">
        <f t="shared" ca="1" si="277"/>
        <v>0</v>
      </c>
      <c r="Y1957" s="276"/>
      <c r="Z1957" s="276"/>
      <c r="AB1957" s="278" t="str">
        <f t="shared" si="278"/>
        <v/>
      </c>
    </row>
    <row r="1958" spans="1:28" s="277" customFormat="1" ht="20.25">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76"/>
        <v/>
      </c>
      <c r="T1958" s="225" t="str">
        <f ca="1">IF(B1958="","",IF(ISERROR(MATCH($J1958,SorP!$B$1:$B$6230,0)),"",INDIRECT("'SorP'!$A$"&amp;MATCH($J1958,SorP!$B$1:$B$6230,0))))</f>
        <v/>
      </c>
      <c r="U1958" s="241"/>
      <c r="V1958" s="275" t="e">
        <f>IF(C1958="",NA(),MATCH($B1958&amp;$C1958,'Smelter Look-up'!$J:$J,0))</f>
        <v>#N/A</v>
      </c>
      <c r="W1958" s="276"/>
      <c r="X1958" s="276">
        <f t="shared" ca="1" si="277"/>
        <v>0</v>
      </c>
      <c r="Y1958" s="276"/>
      <c r="Z1958" s="276"/>
      <c r="AB1958" s="278" t="str">
        <f t="shared" si="278"/>
        <v/>
      </c>
    </row>
    <row r="1959" spans="1:28" s="277" customFormat="1" ht="20.25">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76"/>
        <v/>
      </c>
      <c r="T1959" s="225" t="str">
        <f ca="1">IF(B1959="","",IF(ISERROR(MATCH($J1959,SorP!$B$1:$B$6230,0)),"",INDIRECT("'SorP'!$A$"&amp;MATCH($J1959,SorP!$B$1:$B$6230,0))))</f>
        <v/>
      </c>
      <c r="U1959" s="241"/>
      <c r="V1959" s="275" t="e">
        <f>IF(C1959="",NA(),MATCH($B1959&amp;$C1959,'Smelter Look-up'!$J:$J,0))</f>
        <v>#N/A</v>
      </c>
      <c r="W1959" s="276"/>
      <c r="X1959" s="276">
        <f t="shared" ca="1" si="277"/>
        <v>0</v>
      </c>
      <c r="Y1959" s="276"/>
      <c r="Z1959" s="276"/>
      <c r="AB1959" s="278" t="str">
        <f t="shared" si="278"/>
        <v/>
      </c>
    </row>
    <row r="1960" spans="1:28" s="277" customFormat="1" ht="20.25">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76"/>
        <v/>
      </c>
      <c r="T1960" s="225" t="str">
        <f ca="1">IF(B1960="","",IF(ISERROR(MATCH($J1960,SorP!$B$1:$B$6230,0)),"",INDIRECT("'SorP'!$A$"&amp;MATCH($J1960,SorP!$B$1:$B$6230,0))))</f>
        <v/>
      </c>
      <c r="U1960" s="241"/>
      <c r="V1960" s="275" t="e">
        <f>IF(C1960="",NA(),MATCH($B1960&amp;$C1960,'Smelter Look-up'!$J:$J,0))</f>
        <v>#N/A</v>
      </c>
      <c r="W1960" s="276"/>
      <c r="X1960" s="276">
        <f t="shared" ca="1" si="277"/>
        <v>0</v>
      </c>
      <c r="Y1960" s="276"/>
      <c r="Z1960" s="276"/>
      <c r="AB1960" s="278" t="str">
        <f t="shared" si="278"/>
        <v/>
      </c>
    </row>
    <row r="1961" spans="1:28" s="277" customFormat="1" ht="20.25">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76"/>
        <v/>
      </c>
      <c r="T1961" s="225" t="str">
        <f ca="1">IF(B1961="","",IF(ISERROR(MATCH($J1961,SorP!$B$1:$B$6230,0)),"",INDIRECT("'SorP'!$A$"&amp;MATCH($J1961,SorP!$B$1:$B$6230,0))))</f>
        <v/>
      </c>
      <c r="U1961" s="241"/>
      <c r="V1961" s="275" t="e">
        <f>IF(C1961="",NA(),MATCH($B1961&amp;$C1961,'Smelter Look-up'!$J:$J,0))</f>
        <v>#N/A</v>
      </c>
      <c r="W1961" s="276"/>
      <c r="X1961" s="276">
        <f t="shared" ca="1" si="277"/>
        <v>0</v>
      </c>
      <c r="Y1961" s="276"/>
      <c r="Z1961" s="276"/>
      <c r="AB1961" s="278" t="str">
        <f t="shared" si="278"/>
        <v/>
      </c>
    </row>
    <row r="1962" spans="1:28" s="277" customFormat="1" ht="20.25">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76"/>
        <v/>
      </c>
      <c r="T1962" s="225" t="str">
        <f ca="1">IF(B1962="","",IF(ISERROR(MATCH($J1962,SorP!$B$1:$B$6230,0)),"",INDIRECT("'SorP'!$A$"&amp;MATCH($J1962,SorP!$B$1:$B$6230,0))))</f>
        <v/>
      </c>
      <c r="U1962" s="241"/>
      <c r="V1962" s="275" t="e">
        <f>IF(C1962="",NA(),MATCH($B1962&amp;$C1962,'Smelter Look-up'!$J:$J,0))</f>
        <v>#N/A</v>
      </c>
      <c r="W1962" s="276"/>
      <c r="X1962" s="276">
        <f t="shared" ca="1" si="277"/>
        <v>0</v>
      </c>
      <c r="Y1962" s="276"/>
      <c r="Z1962" s="276"/>
      <c r="AB1962" s="278" t="str">
        <f t="shared" si="278"/>
        <v/>
      </c>
    </row>
    <row r="1963" spans="1:28" s="277" customFormat="1" ht="20.25">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76"/>
        <v/>
      </c>
      <c r="T1963" s="225" t="str">
        <f ca="1">IF(B1963="","",IF(ISERROR(MATCH($J1963,SorP!$B$1:$B$6230,0)),"",INDIRECT("'SorP'!$A$"&amp;MATCH($J1963,SorP!$B$1:$B$6230,0))))</f>
        <v/>
      </c>
      <c r="U1963" s="241"/>
      <c r="V1963" s="275" t="e">
        <f>IF(C1963="",NA(),MATCH($B1963&amp;$C1963,'Smelter Look-up'!$J:$J,0))</f>
        <v>#N/A</v>
      </c>
      <c r="W1963" s="276"/>
      <c r="X1963" s="276">
        <f t="shared" ca="1" si="277"/>
        <v>0</v>
      </c>
      <c r="Y1963" s="276"/>
      <c r="Z1963" s="276"/>
      <c r="AB1963" s="278" t="str">
        <f t="shared" si="278"/>
        <v/>
      </c>
    </row>
    <row r="1964" spans="1:28" s="277" customFormat="1" ht="20.25">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76"/>
        <v/>
      </c>
      <c r="T1964" s="225" t="str">
        <f ca="1">IF(B1964="","",IF(ISERROR(MATCH($J1964,SorP!$B$1:$B$6230,0)),"",INDIRECT("'SorP'!$A$"&amp;MATCH($J1964,SorP!$B$1:$B$6230,0))))</f>
        <v/>
      </c>
      <c r="U1964" s="241"/>
      <c r="V1964" s="275" t="e">
        <f>IF(C1964="",NA(),MATCH($B1964&amp;$C1964,'Smelter Look-up'!$J:$J,0))</f>
        <v>#N/A</v>
      </c>
      <c r="W1964" s="276"/>
      <c r="X1964" s="276">
        <f t="shared" ca="1" si="277"/>
        <v>0</v>
      </c>
      <c r="Y1964" s="276"/>
      <c r="Z1964" s="276"/>
      <c r="AB1964" s="278" t="str">
        <f t="shared" si="278"/>
        <v/>
      </c>
    </row>
    <row r="1965" spans="1:28" s="277" customFormat="1" ht="20.25">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76"/>
        <v/>
      </c>
      <c r="T1965" s="225" t="str">
        <f ca="1">IF(B1965="","",IF(ISERROR(MATCH($J1965,SorP!$B$1:$B$6230,0)),"",INDIRECT("'SorP'!$A$"&amp;MATCH($J1965,SorP!$B$1:$B$6230,0))))</f>
        <v/>
      </c>
      <c r="U1965" s="241"/>
      <c r="V1965" s="275" t="e">
        <f>IF(C1965="",NA(),MATCH($B1965&amp;$C1965,'Smelter Look-up'!$J:$J,0))</f>
        <v>#N/A</v>
      </c>
      <c r="W1965" s="276"/>
      <c r="X1965" s="276">
        <f t="shared" ca="1" si="277"/>
        <v>0</v>
      </c>
      <c r="Y1965" s="276"/>
      <c r="Z1965" s="276"/>
      <c r="AB1965" s="278" t="str">
        <f t="shared" si="278"/>
        <v/>
      </c>
    </row>
    <row r="1966" spans="1:28" s="277" customFormat="1" ht="20.25">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76"/>
        <v/>
      </c>
      <c r="T1966" s="225" t="str">
        <f ca="1">IF(B1966="","",IF(ISERROR(MATCH($J1966,SorP!$B$1:$B$6230,0)),"",INDIRECT("'SorP'!$A$"&amp;MATCH($J1966,SorP!$B$1:$B$6230,0))))</f>
        <v/>
      </c>
      <c r="U1966" s="241"/>
      <c r="V1966" s="275" t="e">
        <f>IF(C1966="",NA(),MATCH($B1966&amp;$C1966,'Smelter Look-up'!$J:$J,0))</f>
        <v>#N/A</v>
      </c>
      <c r="W1966" s="276"/>
      <c r="X1966" s="276">
        <f t="shared" ca="1" si="277"/>
        <v>0</v>
      </c>
      <c r="Y1966" s="276"/>
      <c r="Z1966" s="276"/>
      <c r="AB1966" s="278" t="str">
        <f t="shared" si="278"/>
        <v/>
      </c>
    </row>
    <row r="1967" spans="1:28" s="277" customFormat="1" ht="20.25">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276"/>
        <v/>
      </c>
      <c r="T1967" s="225" t="str">
        <f ca="1">IF(B1967="","",IF(ISERROR(MATCH($J1967,SorP!$B$1:$B$6230,0)),"",INDIRECT("'SorP'!$A$"&amp;MATCH($J1967,SorP!$B$1:$B$6230,0))))</f>
        <v/>
      </c>
      <c r="U1967" s="241"/>
      <c r="V1967" s="275" t="e">
        <f>IF(C1967="",NA(),MATCH($B1967&amp;$C1967,'Smelter Look-up'!$J:$J,0))</f>
        <v>#N/A</v>
      </c>
      <c r="W1967" s="276"/>
      <c r="X1967" s="276">
        <f t="shared" ca="1" si="277"/>
        <v>0</v>
      </c>
      <c r="Y1967" s="276"/>
      <c r="Z1967" s="276"/>
      <c r="AB1967" s="278" t="str">
        <f t="shared" si="278"/>
        <v/>
      </c>
    </row>
    <row r="1968" spans="1:28" s="277" customFormat="1" ht="20.25">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276"/>
        <v/>
      </c>
      <c r="T1968" s="225" t="str">
        <f ca="1">IF(B1968="","",IF(ISERROR(MATCH($J1968,SorP!$B$1:$B$6230,0)),"",INDIRECT("'SorP'!$A$"&amp;MATCH($J1968,SorP!$B$1:$B$6230,0))))</f>
        <v/>
      </c>
      <c r="U1968" s="241"/>
      <c r="V1968" s="275" t="e">
        <f>IF(C1968="",NA(),MATCH($B1968&amp;$C1968,'Smelter Look-up'!$J:$J,0))</f>
        <v>#N/A</v>
      </c>
      <c r="W1968" s="276"/>
      <c r="X1968" s="276">
        <f t="shared" ca="1" si="277"/>
        <v>0</v>
      </c>
      <c r="Y1968" s="276"/>
      <c r="Z1968" s="276"/>
      <c r="AB1968" s="278" t="str">
        <f t="shared" si="278"/>
        <v/>
      </c>
    </row>
    <row r="1969" spans="1:28" s="277" customFormat="1" ht="20.25">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276"/>
        <v/>
      </c>
      <c r="T1969" s="225" t="str">
        <f ca="1">IF(B1969="","",IF(ISERROR(MATCH($J1969,SorP!$B$1:$B$6230,0)),"",INDIRECT("'SorP'!$A$"&amp;MATCH($J1969,SorP!$B$1:$B$6230,0))))</f>
        <v/>
      </c>
      <c r="U1969" s="241"/>
      <c r="V1969" s="275" t="e">
        <f>IF(C1969="",NA(),MATCH($B1969&amp;$C1969,'Smelter Look-up'!$J:$J,0))</f>
        <v>#N/A</v>
      </c>
      <c r="W1969" s="276"/>
      <c r="X1969" s="276">
        <f t="shared" ca="1" si="277"/>
        <v>0</v>
      </c>
      <c r="Y1969" s="276"/>
      <c r="Z1969" s="276"/>
      <c r="AB1969" s="278" t="str">
        <f t="shared" si="278"/>
        <v/>
      </c>
    </row>
    <row r="1970" spans="1:28" s="277" customFormat="1" ht="20.25">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276"/>
        <v/>
      </c>
      <c r="T1970" s="225" t="str">
        <f ca="1">IF(B1970="","",IF(ISERROR(MATCH($J1970,SorP!$B$1:$B$6230,0)),"",INDIRECT("'SorP'!$A$"&amp;MATCH($J1970,SorP!$B$1:$B$6230,0))))</f>
        <v/>
      </c>
      <c r="U1970" s="241"/>
      <c r="V1970" s="275" t="e">
        <f>IF(C1970="",NA(),MATCH($B1970&amp;$C1970,'Smelter Look-up'!$J:$J,0))</f>
        <v>#N/A</v>
      </c>
      <c r="W1970" s="276"/>
      <c r="X1970" s="276">
        <f t="shared" ca="1" si="277"/>
        <v>0</v>
      </c>
      <c r="Y1970" s="276"/>
      <c r="Z1970" s="276"/>
      <c r="AB1970" s="278" t="str">
        <f t="shared" si="278"/>
        <v/>
      </c>
    </row>
    <row r="1971" spans="1:28" s="277" customFormat="1" ht="20.25">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76"/>
        <v/>
      </c>
      <c r="T1971" s="225" t="str">
        <f ca="1">IF(B1971="","",IF(ISERROR(MATCH($J1971,SorP!$B$1:$B$6230,0)),"",INDIRECT("'SorP'!$A$"&amp;MATCH($J1971,SorP!$B$1:$B$6230,0))))</f>
        <v/>
      </c>
      <c r="U1971" s="241"/>
      <c r="V1971" s="275" t="e">
        <f>IF(C1971="",NA(),MATCH($B1971&amp;$C1971,'Smelter Look-up'!$J:$J,0))</f>
        <v>#N/A</v>
      </c>
      <c r="W1971" s="276"/>
      <c r="X1971" s="276">
        <f t="shared" ca="1" si="277"/>
        <v>0</v>
      </c>
      <c r="Y1971" s="276"/>
      <c r="Z1971" s="276"/>
      <c r="AB1971" s="278" t="str">
        <f t="shared" si="278"/>
        <v/>
      </c>
    </row>
    <row r="1972" spans="1:28" s="277" customFormat="1" ht="20.25">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76"/>
        <v/>
      </c>
      <c r="T1972" s="225" t="str">
        <f ca="1">IF(B1972="","",IF(ISERROR(MATCH($J1972,SorP!$B$1:$B$6230,0)),"",INDIRECT("'SorP'!$A$"&amp;MATCH($J1972,SorP!$B$1:$B$6230,0))))</f>
        <v/>
      </c>
      <c r="U1972" s="241"/>
      <c r="V1972" s="275" t="e">
        <f>IF(C1972="",NA(),MATCH($B1972&amp;$C1972,'Smelter Look-up'!$J:$J,0))</f>
        <v>#N/A</v>
      </c>
      <c r="W1972" s="276"/>
      <c r="X1972" s="276">
        <f t="shared" ca="1" si="277"/>
        <v>0</v>
      </c>
      <c r="Y1972" s="276"/>
      <c r="Z1972" s="276"/>
      <c r="AB1972" s="278" t="str">
        <f t="shared" si="278"/>
        <v/>
      </c>
    </row>
    <row r="1973" spans="1:28" s="277" customFormat="1" ht="20.25">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76"/>
        <v/>
      </c>
      <c r="T1973" s="225" t="str">
        <f ca="1">IF(B1973="","",IF(ISERROR(MATCH($J1973,SorP!$B$1:$B$6230,0)),"",INDIRECT("'SorP'!$A$"&amp;MATCH($J1973,SorP!$B$1:$B$6230,0))))</f>
        <v/>
      </c>
      <c r="U1973" s="241"/>
      <c r="V1973" s="275" t="e">
        <f>IF(C1973="",NA(),MATCH($B1973&amp;$C1973,'Smelter Look-up'!$J:$J,0))</f>
        <v>#N/A</v>
      </c>
      <c r="W1973" s="276"/>
      <c r="X1973" s="276">
        <f t="shared" ca="1" si="277"/>
        <v>0</v>
      </c>
      <c r="Y1973" s="276"/>
      <c r="Z1973" s="276"/>
      <c r="AB1973" s="278" t="str">
        <f t="shared" si="278"/>
        <v/>
      </c>
    </row>
    <row r="1974" spans="1:28" s="277" customFormat="1" ht="20.25">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76"/>
        <v/>
      </c>
      <c r="T1974" s="225" t="str">
        <f ca="1">IF(B1974="","",IF(ISERROR(MATCH($J1974,SorP!$B$1:$B$6230,0)),"",INDIRECT("'SorP'!$A$"&amp;MATCH($J1974,SorP!$B$1:$B$6230,0))))</f>
        <v/>
      </c>
      <c r="U1974" s="241"/>
      <c r="V1974" s="275" t="e">
        <f>IF(C1974="",NA(),MATCH($B1974&amp;$C1974,'Smelter Look-up'!$J:$J,0))</f>
        <v>#N/A</v>
      </c>
      <c r="W1974" s="276"/>
      <c r="X1974" s="276">
        <f t="shared" ca="1" si="277"/>
        <v>0</v>
      </c>
      <c r="Y1974" s="276"/>
      <c r="Z1974" s="276"/>
      <c r="AB1974" s="278" t="str">
        <f t="shared" si="278"/>
        <v/>
      </c>
    </row>
    <row r="1975" spans="1:28" s="277" customFormat="1" ht="20.25">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76"/>
        <v/>
      </c>
      <c r="T1975" s="225" t="str">
        <f ca="1">IF(B1975="","",IF(ISERROR(MATCH($J1975,SorP!$B$1:$B$6230,0)),"",INDIRECT("'SorP'!$A$"&amp;MATCH($J1975,SorP!$B$1:$B$6230,0))))</f>
        <v/>
      </c>
      <c r="U1975" s="241"/>
      <c r="V1975" s="275" t="e">
        <f>IF(C1975="",NA(),MATCH($B1975&amp;$C1975,'Smelter Look-up'!$J:$J,0))</f>
        <v>#N/A</v>
      </c>
      <c r="W1975" s="276"/>
      <c r="X1975" s="276">
        <f t="shared" ca="1" si="277"/>
        <v>0</v>
      </c>
      <c r="Y1975" s="276"/>
      <c r="Z1975" s="276"/>
      <c r="AB1975" s="278" t="str">
        <f t="shared" si="278"/>
        <v/>
      </c>
    </row>
    <row r="1976" spans="1:28" s="277" customFormat="1" ht="20.25">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76"/>
        <v/>
      </c>
      <c r="T1976" s="225" t="str">
        <f ca="1">IF(B1976="","",IF(ISERROR(MATCH($J1976,SorP!$B$1:$B$6230,0)),"",INDIRECT("'SorP'!$A$"&amp;MATCH($J1976,SorP!$B$1:$B$6230,0))))</f>
        <v/>
      </c>
      <c r="U1976" s="241"/>
      <c r="V1976" s="275" t="e">
        <f>IF(C1976="",NA(),MATCH($B1976&amp;$C1976,'Smelter Look-up'!$J:$J,0))</f>
        <v>#N/A</v>
      </c>
      <c r="W1976" s="276"/>
      <c r="X1976" s="276">
        <f t="shared" ca="1" si="277"/>
        <v>0</v>
      </c>
      <c r="Y1976" s="276"/>
      <c r="Z1976" s="276"/>
      <c r="AB1976" s="278" t="str">
        <f t="shared" si="278"/>
        <v/>
      </c>
    </row>
    <row r="1977" spans="1:28" s="277" customFormat="1" ht="20.25">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76"/>
        <v/>
      </c>
      <c r="T1977" s="225" t="str">
        <f ca="1">IF(B1977="","",IF(ISERROR(MATCH($J1977,SorP!$B$1:$B$6230,0)),"",INDIRECT("'SorP'!$A$"&amp;MATCH($J1977,SorP!$B$1:$B$6230,0))))</f>
        <v/>
      </c>
      <c r="U1977" s="241"/>
      <c r="V1977" s="275" t="e">
        <f>IF(C1977="",NA(),MATCH($B1977&amp;$C1977,'Smelter Look-up'!$J:$J,0))</f>
        <v>#N/A</v>
      </c>
      <c r="W1977" s="276"/>
      <c r="X1977" s="276">
        <f t="shared" ca="1" si="277"/>
        <v>0</v>
      </c>
      <c r="Y1977" s="276"/>
      <c r="Z1977" s="276"/>
      <c r="AB1977" s="278" t="str">
        <f t="shared" si="278"/>
        <v/>
      </c>
    </row>
    <row r="1978" spans="1:28" s="277" customFormat="1" ht="20.25">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276"/>
        <v/>
      </c>
      <c r="T1978" s="225" t="str">
        <f ca="1">IF(B1978="","",IF(ISERROR(MATCH($J1978,SorP!$B$1:$B$6230,0)),"",INDIRECT("'SorP'!$A$"&amp;MATCH($J1978,SorP!$B$1:$B$6230,0))))</f>
        <v/>
      </c>
      <c r="U1978" s="241"/>
      <c r="V1978" s="275" t="e">
        <f>IF(C1978="",NA(),MATCH($B1978&amp;$C1978,'Smelter Look-up'!$J:$J,0))</f>
        <v>#N/A</v>
      </c>
      <c r="W1978" s="276"/>
      <c r="X1978" s="276">
        <f t="shared" ca="1" si="277"/>
        <v>0</v>
      </c>
      <c r="Y1978" s="276"/>
      <c r="Z1978" s="276"/>
      <c r="AB1978" s="278" t="str">
        <f t="shared" si="278"/>
        <v/>
      </c>
    </row>
    <row r="1979" spans="1:28" s="277" customFormat="1" ht="20.25">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ref="S1979" ca="1" si="279">IF(B1979="","",IF(ISERROR(MATCH($E1979,CL,0)),"Unknown",INDIRECT("'C'!$A$"&amp;MATCH($E1979,CL,0)+1)))</f>
        <v/>
      </c>
      <c r="T1979" s="225" t="str">
        <f ca="1">IF(B1979="","",IF(ISERROR(MATCH($J1979,SorP!$B$1:$B$6230,0)),"",INDIRECT("'SorP'!$A$"&amp;MATCH($J1979,SorP!$B$1:$B$6230,0))))</f>
        <v/>
      </c>
      <c r="U1979" s="241"/>
      <c r="V1979" s="275" t="e">
        <f>IF(C1979="",NA(),MATCH($B1979&amp;$C1979,'Smelter Look-up'!$J:$J,0))</f>
        <v>#N/A</v>
      </c>
      <c r="W1979" s="276"/>
      <c r="X1979" s="276">
        <f t="shared" ref="X1979" ca="1" si="280">IF(AND(C1979="Smelter not listed",OR(LEN(D1979)=0,LEN(E1979)=0)),1,0)</f>
        <v>0</v>
      </c>
      <c r="Y1979" s="276"/>
      <c r="Z1979" s="276"/>
      <c r="AB1979" s="278" t="str">
        <f t="shared" ref="AB1979" si="281">B1979&amp;C1979</f>
        <v/>
      </c>
    </row>
    <row r="1980" spans="1:28" s="277" customFormat="1" ht="20.25">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ref="S1980:S2011" ca="1" si="282">IF(B1980="","",IF(ISERROR(MATCH($E1980,CL,0)),"Unknown",INDIRECT("'C'!$A$"&amp;MATCH($E1980,CL,0)+1)))</f>
        <v/>
      </c>
      <c r="T1980" s="225" t="str">
        <f ca="1">IF(B1980="","",IF(ISERROR(MATCH($J1980,SorP!$B$1:$B$6230,0)),"",INDIRECT("'SorP'!$A$"&amp;MATCH($J1980,SorP!$B$1:$B$6230,0))))</f>
        <v/>
      </c>
      <c r="U1980" s="241"/>
      <c r="V1980" s="275" t="e">
        <f>IF(C1980="",NA(),MATCH($B1980&amp;$C1980,'Smelter Look-up'!$J:$J,0))</f>
        <v>#N/A</v>
      </c>
      <c r="W1980" s="276"/>
      <c r="X1980" s="276">
        <f t="shared" ref="X1980:X2011" ca="1" si="283">IF(AND(C1980="Smelter not listed",OR(LEN(D1980)=0,LEN(E1980)=0)),1,0)</f>
        <v>0</v>
      </c>
      <c r="Y1980" s="276"/>
      <c r="Z1980" s="276"/>
      <c r="AB1980" s="278" t="str">
        <f t="shared" ref="AB1980:AB2011" si="284">B1980&amp;C1980</f>
        <v/>
      </c>
    </row>
    <row r="1981" spans="1:28" s="277" customFormat="1" ht="20.25">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82"/>
        <v/>
      </c>
      <c r="T1981" s="225" t="str">
        <f ca="1">IF(B1981="","",IF(ISERROR(MATCH($J1981,SorP!$B$1:$B$6230,0)),"",INDIRECT("'SorP'!$A$"&amp;MATCH($J1981,SorP!$B$1:$B$6230,0))))</f>
        <v/>
      </c>
      <c r="U1981" s="241"/>
      <c r="V1981" s="275" t="e">
        <f>IF(C1981="",NA(),MATCH($B1981&amp;$C1981,'Smelter Look-up'!$J:$J,0))</f>
        <v>#N/A</v>
      </c>
      <c r="W1981" s="276"/>
      <c r="X1981" s="276">
        <f t="shared" ca="1" si="283"/>
        <v>0</v>
      </c>
      <c r="Y1981" s="276"/>
      <c r="Z1981" s="276"/>
      <c r="AB1981" s="278" t="str">
        <f t="shared" si="284"/>
        <v/>
      </c>
    </row>
    <row r="1982" spans="1:28" s="277" customFormat="1" ht="20.25">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82"/>
        <v/>
      </c>
      <c r="T1982" s="225" t="str">
        <f ca="1">IF(B1982="","",IF(ISERROR(MATCH($J1982,SorP!$B$1:$B$6230,0)),"",INDIRECT("'SorP'!$A$"&amp;MATCH($J1982,SorP!$B$1:$B$6230,0))))</f>
        <v/>
      </c>
      <c r="U1982" s="241"/>
      <c r="V1982" s="275" t="e">
        <f>IF(C1982="",NA(),MATCH($B1982&amp;$C1982,'Smelter Look-up'!$J:$J,0))</f>
        <v>#N/A</v>
      </c>
      <c r="W1982" s="276"/>
      <c r="X1982" s="276">
        <f t="shared" ca="1" si="283"/>
        <v>0</v>
      </c>
      <c r="Y1982" s="276"/>
      <c r="Z1982" s="276"/>
      <c r="AB1982" s="278" t="str">
        <f t="shared" si="284"/>
        <v/>
      </c>
    </row>
    <row r="1983" spans="1:28" s="277" customFormat="1" ht="20.25">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82"/>
        <v/>
      </c>
      <c r="T1983" s="225" t="str">
        <f ca="1">IF(B1983="","",IF(ISERROR(MATCH($J1983,SorP!$B$1:$B$6230,0)),"",INDIRECT("'SorP'!$A$"&amp;MATCH($J1983,SorP!$B$1:$B$6230,0))))</f>
        <v/>
      </c>
      <c r="U1983" s="241"/>
      <c r="V1983" s="275" t="e">
        <f>IF(C1983="",NA(),MATCH($B1983&amp;$C1983,'Smelter Look-up'!$J:$J,0))</f>
        <v>#N/A</v>
      </c>
      <c r="W1983" s="276"/>
      <c r="X1983" s="276">
        <f t="shared" ca="1" si="283"/>
        <v>0</v>
      </c>
      <c r="Y1983" s="276"/>
      <c r="Z1983" s="276"/>
      <c r="AB1983" s="278" t="str">
        <f t="shared" si="284"/>
        <v/>
      </c>
    </row>
    <row r="1984" spans="1:28" s="277" customFormat="1" ht="20.25">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82"/>
        <v/>
      </c>
      <c r="T1984" s="225" t="str">
        <f ca="1">IF(B1984="","",IF(ISERROR(MATCH($J1984,SorP!$B$1:$B$6230,0)),"",INDIRECT("'SorP'!$A$"&amp;MATCH($J1984,SorP!$B$1:$B$6230,0))))</f>
        <v/>
      </c>
      <c r="U1984" s="241"/>
      <c r="V1984" s="275" t="e">
        <f>IF(C1984="",NA(),MATCH($B1984&amp;$C1984,'Smelter Look-up'!$J:$J,0))</f>
        <v>#N/A</v>
      </c>
      <c r="W1984" s="276"/>
      <c r="X1984" s="276">
        <f t="shared" ca="1" si="283"/>
        <v>0</v>
      </c>
      <c r="Y1984" s="276"/>
      <c r="Z1984" s="276"/>
      <c r="AB1984" s="278" t="str">
        <f t="shared" si="284"/>
        <v/>
      </c>
    </row>
    <row r="1985" spans="1:28" s="277" customFormat="1" ht="20.25">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82"/>
        <v/>
      </c>
      <c r="T1985" s="225" t="str">
        <f ca="1">IF(B1985="","",IF(ISERROR(MATCH($J1985,SorP!$B$1:$B$6230,0)),"",INDIRECT("'SorP'!$A$"&amp;MATCH($J1985,SorP!$B$1:$B$6230,0))))</f>
        <v/>
      </c>
      <c r="U1985" s="241"/>
      <c r="V1985" s="275" t="e">
        <f>IF(C1985="",NA(),MATCH($B1985&amp;$C1985,'Smelter Look-up'!$J:$J,0))</f>
        <v>#N/A</v>
      </c>
      <c r="W1985" s="276"/>
      <c r="X1985" s="276">
        <f t="shared" ca="1" si="283"/>
        <v>0</v>
      </c>
      <c r="Y1985" s="276"/>
      <c r="Z1985" s="276"/>
      <c r="AB1985" s="278" t="str">
        <f t="shared" si="284"/>
        <v/>
      </c>
    </row>
    <row r="1986" spans="1:28" s="277" customFormat="1" ht="20.25">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82"/>
        <v/>
      </c>
      <c r="T1986" s="225" t="str">
        <f ca="1">IF(B1986="","",IF(ISERROR(MATCH($J1986,SorP!$B$1:$B$6230,0)),"",INDIRECT("'SorP'!$A$"&amp;MATCH($J1986,SorP!$B$1:$B$6230,0))))</f>
        <v/>
      </c>
      <c r="U1986" s="241"/>
      <c r="V1986" s="275" t="e">
        <f>IF(C1986="",NA(),MATCH($B1986&amp;$C1986,'Smelter Look-up'!$J:$J,0))</f>
        <v>#N/A</v>
      </c>
      <c r="W1986" s="276"/>
      <c r="X1986" s="276">
        <f t="shared" ca="1" si="283"/>
        <v>0</v>
      </c>
      <c r="Y1986" s="276"/>
      <c r="Z1986" s="276"/>
      <c r="AB1986" s="278" t="str">
        <f t="shared" si="284"/>
        <v/>
      </c>
    </row>
    <row r="1987" spans="1:28" s="277" customFormat="1" ht="20.25">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82"/>
        <v/>
      </c>
      <c r="T1987" s="225" t="str">
        <f ca="1">IF(B1987="","",IF(ISERROR(MATCH($J1987,SorP!$B$1:$B$6230,0)),"",INDIRECT("'SorP'!$A$"&amp;MATCH($J1987,SorP!$B$1:$B$6230,0))))</f>
        <v/>
      </c>
      <c r="U1987" s="241"/>
      <c r="V1987" s="275" t="e">
        <f>IF(C1987="",NA(),MATCH($B1987&amp;$C1987,'Smelter Look-up'!$J:$J,0))</f>
        <v>#N/A</v>
      </c>
      <c r="W1987" s="276"/>
      <c r="X1987" s="276">
        <f t="shared" ca="1" si="283"/>
        <v>0</v>
      </c>
      <c r="Y1987" s="276"/>
      <c r="Z1987" s="276"/>
      <c r="AB1987" s="278" t="str">
        <f t="shared" si="284"/>
        <v/>
      </c>
    </row>
    <row r="1988" spans="1:28" s="277" customFormat="1" ht="20.25">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82"/>
        <v/>
      </c>
      <c r="T1988" s="225" t="str">
        <f ca="1">IF(B1988="","",IF(ISERROR(MATCH($J1988,SorP!$B$1:$B$6230,0)),"",INDIRECT("'SorP'!$A$"&amp;MATCH($J1988,SorP!$B$1:$B$6230,0))))</f>
        <v/>
      </c>
      <c r="U1988" s="241"/>
      <c r="V1988" s="275" t="e">
        <f>IF(C1988="",NA(),MATCH($B1988&amp;$C1988,'Smelter Look-up'!$J:$J,0))</f>
        <v>#N/A</v>
      </c>
      <c r="W1988" s="276"/>
      <c r="X1988" s="276">
        <f t="shared" ca="1" si="283"/>
        <v>0</v>
      </c>
      <c r="Y1988" s="276"/>
      <c r="Z1988" s="276"/>
      <c r="AB1988" s="278" t="str">
        <f t="shared" si="284"/>
        <v/>
      </c>
    </row>
    <row r="1989" spans="1:28" s="277" customFormat="1" ht="20.25">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82"/>
        <v/>
      </c>
      <c r="T1989" s="225" t="str">
        <f ca="1">IF(B1989="","",IF(ISERROR(MATCH($J1989,SorP!$B$1:$B$6230,0)),"",INDIRECT("'SorP'!$A$"&amp;MATCH($J1989,SorP!$B$1:$B$6230,0))))</f>
        <v/>
      </c>
      <c r="U1989" s="241"/>
      <c r="V1989" s="275" t="e">
        <f>IF(C1989="",NA(),MATCH($B1989&amp;$C1989,'Smelter Look-up'!$J:$J,0))</f>
        <v>#N/A</v>
      </c>
      <c r="W1989" s="276"/>
      <c r="X1989" s="276">
        <f t="shared" ca="1" si="283"/>
        <v>0</v>
      </c>
      <c r="Y1989" s="276"/>
      <c r="Z1989" s="276"/>
      <c r="AB1989" s="278" t="str">
        <f t="shared" si="284"/>
        <v/>
      </c>
    </row>
    <row r="1990" spans="1:28" s="277" customFormat="1" ht="20.25">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82"/>
        <v/>
      </c>
      <c r="T1990" s="225" t="str">
        <f ca="1">IF(B1990="","",IF(ISERROR(MATCH($J1990,SorP!$B$1:$B$6230,0)),"",INDIRECT("'SorP'!$A$"&amp;MATCH($J1990,SorP!$B$1:$B$6230,0))))</f>
        <v/>
      </c>
      <c r="U1990" s="241"/>
      <c r="V1990" s="275" t="e">
        <f>IF(C1990="",NA(),MATCH($B1990&amp;$C1990,'Smelter Look-up'!$J:$J,0))</f>
        <v>#N/A</v>
      </c>
      <c r="W1990" s="276"/>
      <c r="X1990" s="276">
        <f t="shared" ca="1" si="283"/>
        <v>0</v>
      </c>
      <c r="Y1990" s="276"/>
      <c r="Z1990" s="276"/>
      <c r="AB1990" s="278" t="str">
        <f t="shared" si="284"/>
        <v/>
      </c>
    </row>
    <row r="1991" spans="1:28" s="277" customFormat="1" ht="20.25">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82"/>
        <v/>
      </c>
      <c r="T1991" s="225" t="str">
        <f ca="1">IF(B1991="","",IF(ISERROR(MATCH($J1991,SorP!$B$1:$B$6230,0)),"",INDIRECT("'SorP'!$A$"&amp;MATCH($J1991,SorP!$B$1:$B$6230,0))))</f>
        <v/>
      </c>
      <c r="U1991" s="241"/>
      <c r="V1991" s="275" t="e">
        <f>IF(C1991="",NA(),MATCH($B1991&amp;$C1991,'Smelter Look-up'!$J:$J,0))</f>
        <v>#N/A</v>
      </c>
      <c r="W1991" s="276"/>
      <c r="X1991" s="276">
        <f t="shared" ca="1" si="283"/>
        <v>0</v>
      </c>
      <c r="Y1991" s="276"/>
      <c r="Z1991" s="276"/>
      <c r="AB1991" s="278" t="str">
        <f t="shared" si="284"/>
        <v/>
      </c>
    </row>
    <row r="1992" spans="1:28" s="277" customFormat="1" ht="20.25">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82"/>
        <v/>
      </c>
      <c r="T1992" s="225" t="str">
        <f ca="1">IF(B1992="","",IF(ISERROR(MATCH($J1992,SorP!$B$1:$B$6230,0)),"",INDIRECT("'SorP'!$A$"&amp;MATCH($J1992,SorP!$B$1:$B$6230,0))))</f>
        <v/>
      </c>
      <c r="U1992" s="241"/>
      <c r="V1992" s="275" t="e">
        <f>IF(C1992="",NA(),MATCH($B1992&amp;$C1992,'Smelter Look-up'!$J:$J,0))</f>
        <v>#N/A</v>
      </c>
      <c r="W1992" s="276"/>
      <c r="X1992" s="276">
        <f t="shared" ca="1" si="283"/>
        <v>0</v>
      </c>
      <c r="Y1992" s="276"/>
      <c r="Z1992" s="276"/>
      <c r="AB1992" s="278" t="str">
        <f t="shared" si="284"/>
        <v/>
      </c>
    </row>
    <row r="1993" spans="1:28" s="277" customFormat="1" ht="20.25">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82"/>
        <v/>
      </c>
      <c r="T1993" s="225" t="str">
        <f ca="1">IF(B1993="","",IF(ISERROR(MATCH($J1993,SorP!$B$1:$B$6230,0)),"",INDIRECT("'SorP'!$A$"&amp;MATCH($J1993,SorP!$B$1:$B$6230,0))))</f>
        <v/>
      </c>
      <c r="U1993" s="241"/>
      <c r="V1993" s="275" t="e">
        <f>IF(C1993="",NA(),MATCH($B1993&amp;$C1993,'Smelter Look-up'!$J:$J,0))</f>
        <v>#N/A</v>
      </c>
      <c r="W1993" s="276"/>
      <c r="X1993" s="276">
        <f t="shared" ca="1" si="283"/>
        <v>0</v>
      </c>
      <c r="Y1993" s="276"/>
      <c r="Z1993" s="276"/>
      <c r="AB1993" s="278" t="str">
        <f t="shared" si="284"/>
        <v/>
      </c>
    </row>
    <row r="1994" spans="1:28" s="277" customFormat="1" ht="20.25">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82"/>
        <v/>
      </c>
      <c r="T1994" s="225" t="str">
        <f ca="1">IF(B1994="","",IF(ISERROR(MATCH($J1994,SorP!$B$1:$B$6230,0)),"",INDIRECT("'SorP'!$A$"&amp;MATCH($J1994,SorP!$B$1:$B$6230,0))))</f>
        <v/>
      </c>
      <c r="U1994" s="241"/>
      <c r="V1994" s="275" t="e">
        <f>IF(C1994="",NA(),MATCH($B1994&amp;$C1994,'Smelter Look-up'!$J:$J,0))</f>
        <v>#N/A</v>
      </c>
      <c r="W1994" s="276"/>
      <c r="X1994" s="276">
        <f t="shared" ca="1" si="283"/>
        <v>0</v>
      </c>
      <c r="Y1994" s="276"/>
      <c r="Z1994" s="276"/>
      <c r="AB1994" s="278" t="str">
        <f t="shared" si="284"/>
        <v/>
      </c>
    </row>
    <row r="1995" spans="1:28" s="277" customFormat="1" ht="20.25">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82"/>
        <v/>
      </c>
      <c r="T1995" s="225" t="str">
        <f ca="1">IF(B1995="","",IF(ISERROR(MATCH($J1995,SorP!$B$1:$B$6230,0)),"",INDIRECT("'SorP'!$A$"&amp;MATCH($J1995,SorP!$B$1:$B$6230,0))))</f>
        <v/>
      </c>
      <c r="U1995" s="241"/>
      <c r="V1995" s="275" t="e">
        <f>IF(C1995="",NA(),MATCH($B1995&amp;$C1995,'Smelter Look-up'!$J:$J,0))</f>
        <v>#N/A</v>
      </c>
      <c r="W1995" s="276"/>
      <c r="X1995" s="276">
        <f t="shared" ca="1" si="283"/>
        <v>0</v>
      </c>
      <c r="Y1995" s="276"/>
      <c r="Z1995" s="276"/>
      <c r="AB1995" s="278" t="str">
        <f t="shared" si="284"/>
        <v/>
      </c>
    </row>
    <row r="1996" spans="1:28" s="277" customFormat="1" ht="20.25">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82"/>
        <v/>
      </c>
      <c r="T1996" s="225" t="str">
        <f ca="1">IF(B1996="","",IF(ISERROR(MATCH($J1996,SorP!$B$1:$B$6230,0)),"",INDIRECT("'SorP'!$A$"&amp;MATCH($J1996,SorP!$B$1:$B$6230,0))))</f>
        <v/>
      </c>
      <c r="U1996" s="241"/>
      <c r="V1996" s="275" t="e">
        <f>IF(C1996="",NA(),MATCH($B1996&amp;$C1996,'Smelter Look-up'!$J:$J,0))</f>
        <v>#N/A</v>
      </c>
      <c r="W1996" s="276"/>
      <c r="X1996" s="276">
        <f t="shared" ca="1" si="283"/>
        <v>0</v>
      </c>
      <c r="Y1996" s="276"/>
      <c r="Z1996" s="276"/>
      <c r="AB1996" s="278" t="str">
        <f t="shared" si="284"/>
        <v/>
      </c>
    </row>
    <row r="1997" spans="1:28" s="277" customFormat="1" ht="20.25">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82"/>
        <v/>
      </c>
      <c r="T1997" s="225" t="str">
        <f ca="1">IF(B1997="","",IF(ISERROR(MATCH($J1997,SorP!$B$1:$B$6230,0)),"",INDIRECT("'SorP'!$A$"&amp;MATCH($J1997,SorP!$B$1:$B$6230,0))))</f>
        <v/>
      </c>
      <c r="U1997" s="241"/>
      <c r="V1997" s="275" t="e">
        <f>IF(C1997="",NA(),MATCH($B1997&amp;$C1997,'Smelter Look-up'!$J:$J,0))</f>
        <v>#N/A</v>
      </c>
      <c r="W1997" s="276"/>
      <c r="X1997" s="276">
        <f t="shared" ca="1" si="283"/>
        <v>0</v>
      </c>
      <c r="Y1997" s="276"/>
      <c r="Z1997" s="276"/>
      <c r="AB1997" s="278" t="str">
        <f t="shared" si="284"/>
        <v/>
      </c>
    </row>
    <row r="1998" spans="1:28" s="277" customFormat="1" ht="20.25">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82"/>
        <v/>
      </c>
      <c r="T1998" s="225" t="str">
        <f ca="1">IF(B1998="","",IF(ISERROR(MATCH($J1998,SorP!$B$1:$B$6230,0)),"",INDIRECT("'SorP'!$A$"&amp;MATCH($J1998,SorP!$B$1:$B$6230,0))))</f>
        <v/>
      </c>
      <c r="U1998" s="241"/>
      <c r="V1998" s="275" t="e">
        <f>IF(C1998="",NA(),MATCH($B1998&amp;$C1998,'Smelter Look-up'!$J:$J,0))</f>
        <v>#N/A</v>
      </c>
      <c r="W1998" s="276"/>
      <c r="X1998" s="276">
        <f t="shared" ca="1" si="283"/>
        <v>0</v>
      </c>
      <c r="Y1998" s="276"/>
      <c r="Z1998" s="276"/>
      <c r="AB1998" s="278" t="str">
        <f t="shared" si="284"/>
        <v/>
      </c>
    </row>
    <row r="1999" spans="1:28" s="277" customFormat="1" ht="20.25">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82"/>
        <v/>
      </c>
      <c r="T1999" s="225" t="str">
        <f ca="1">IF(B1999="","",IF(ISERROR(MATCH($J1999,SorP!$B$1:$B$6230,0)),"",INDIRECT("'SorP'!$A$"&amp;MATCH($J1999,SorP!$B$1:$B$6230,0))))</f>
        <v/>
      </c>
      <c r="U1999" s="241"/>
      <c r="V1999" s="275" t="e">
        <f>IF(C1999="",NA(),MATCH($B1999&amp;$C1999,'Smelter Look-up'!$J:$J,0))</f>
        <v>#N/A</v>
      </c>
      <c r="W1999" s="276"/>
      <c r="X1999" s="276">
        <f t="shared" ca="1" si="283"/>
        <v>0</v>
      </c>
      <c r="Y1999" s="276"/>
      <c r="Z1999" s="276"/>
      <c r="AB1999" s="278" t="str">
        <f t="shared" si="284"/>
        <v/>
      </c>
    </row>
    <row r="2000" spans="1:28" s="277" customFormat="1" ht="20.25">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282"/>
        <v/>
      </c>
      <c r="T2000" s="225" t="str">
        <f ca="1">IF(B2000="","",IF(ISERROR(MATCH($J2000,SorP!$B$1:$B$6230,0)),"",INDIRECT("'SorP'!$A$"&amp;MATCH($J2000,SorP!$B$1:$B$6230,0))))</f>
        <v/>
      </c>
      <c r="U2000" s="241"/>
      <c r="V2000" s="275" t="e">
        <f>IF(C2000="",NA(),MATCH($B2000&amp;$C2000,'Smelter Look-up'!$J:$J,0))</f>
        <v>#N/A</v>
      </c>
      <c r="W2000" s="276"/>
      <c r="X2000" s="276">
        <f t="shared" ca="1" si="283"/>
        <v>0</v>
      </c>
      <c r="Y2000" s="276"/>
      <c r="Z2000" s="276"/>
      <c r="AB2000" s="278" t="str">
        <f t="shared" si="284"/>
        <v/>
      </c>
    </row>
    <row r="2001" spans="1:28" s="277" customFormat="1" ht="20.25">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82"/>
        <v/>
      </c>
      <c r="T2001" s="225" t="str">
        <f ca="1">IF(B2001="","",IF(ISERROR(MATCH($J2001,SorP!$B$1:$B$6230,0)),"",INDIRECT("'SorP'!$A$"&amp;MATCH($J2001,SorP!$B$1:$B$6230,0))))</f>
        <v/>
      </c>
      <c r="U2001" s="241"/>
      <c r="V2001" s="275" t="e">
        <f>IF(C2001="",NA(),MATCH($B2001&amp;$C2001,'Smelter Look-up'!$J:$J,0))</f>
        <v>#N/A</v>
      </c>
      <c r="W2001" s="276"/>
      <c r="X2001" s="276">
        <f t="shared" ca="1" si="283"/>
        <v>0</v>
      </c>
      <c r="Y2001" s="276"/>
      <c r="Z2001" s="276"/>
      <c r="AB2001" s="278" t="str">
        <f t="shared" si="284"/>
        <v/>
      </c>
    </row>
    <row r="2002" spans="1:28" s="277" customFormat="1" ht="20.25">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282"/>
        <v/>
      </c>
      <c r="T2002" s="225" t="str">
        <f ca="1">IF(B2002="","",IF(ISERROR(MATCH($J2002,SorP!$B$1:$B$6230,0)),"",INDIRECT("'SorP'!$A$"&amp;MATCH($J2002,SorP!$B$1:$B$6230,0))))</f>
        <v/>
      </c>
      <c r="U2002" s="241"/>
      <c r="V2002" s="275" t="e">
        <f>IF(C2002="",NA(),MATCH($B2002&amp;$C2002,'Smelter Look-up'!$J:$J,0))</f>
        <v>#N/A</v>
      </c>
      <c r="W2002" s="276"/>
      <c r="X2002" s="276">
        <f t="shared" ca="1" si="283"/>
        <v>0</v>
      </c>
      <c r="Y2002" s="276"/>
      <c r="Z2002" s="276"/>
      <c r="AB2002" s="278" t="str">
        <f t="shared" si="284"/>
        <v/>
      </c>
    </row>
    <row r="2003" spans="1:28" s="277" customFormat="1" ht="20.25">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82"/>
        <v/>
      </c>
      <c r="T2003" s="225" t="str">
        <f ca="1">IF(B2003="","",IF(ISERROR(MATCH($J2003,SorP!$B$1:$B$6230,0)),"",INDIRECT("'SorP'!$A$"&amp;MATCH($J2003,SorP!$B$1:$B$6230,0))))</f>
        <v/>
      </c>
      <c r="U2003" s="241"/>
      <c r="V2003" s="275" t="e">
        <f>IF(C2003="",NA(),MATCH($B2003&amp;$C2003,'Smelter Look-up'!$J:$J,0))</f>
        <v>#N/A</v>
      </c>
      <c r="W2003" s="276"/>
      <c r="X2003" s="276">
        <f t="shared" ca="1" si="283"/>
        <v>0</v>
      </c>
      <c r="Y2003" s="276"/>
      <c r="Z2003" s="276"/>
      <c r="AB2003" s="278" t="str">
        <f t="shared" si="284"/>
        <v/>
      </c>
    </row>
    <row r="2004" spans="1:28" s="277" customFormat="1" ht="20.25">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82"/>
        <v/>
      </c>
      <c r="T2004" s="225" t="str">
        <f ca="1">IF(B2004="","",IF(ISERROR(MATCH($J2004,SorP!$B$1:$B$6230,0)),"",INDIRECT("'SorP'!$A$"&amp;MATCH($J2004,SorP!$B$1:$B$6230,0))))</f>
        <v/>
      </c>
      <c r="U2004" s="241"/>
      <c r="V2004" s="275" t="e">
        <f>IF(C2004="",NA(),MATCH($B2004&amp;$C2004,'Smelter Look-up'!$J:$J,0))</f>
        <v>#N/A</v>
      </c>
      <c r="W2004" s="276"/>
      <c r="X2004" s="276">
        <f t="shared" ca="1" si="283"/>
        <v>0</v>
      </c>
      <c r="Y2004" s="276"/>
      <c r="Z2004" s="276"/>
      <c r="AB2004" s="278" t="str">
        <f t="shared" si="284"/>
        <v/>
      </c>
    </row>
    <row r="2005" spans="1:28" s="277" customFormat="1" ht="20.25">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82"/>
        <v/>
      </c>
      <c r="T2005" s="225" t="str">
        <f ca="1">IF(B2005="","",IF(ISERROR(MATCH($J2005,SorP!$B$1:$B$6230,0)),"",INDIRECT("'SorP'!$A$"&amp;MATCH($J2005,SorP!$B$1:$B$6230,0))))</f>
        <v/>
      </c>
      <c r="U2005" s="241"/>
      <c r="V2005" s="275" t="e">
        <f>IF(C2005="",NA(),MATCH($B2005&amp;$C2005,'Smelter Look-up'!$J:$J,0))</f>
        <v>#N/A</v>
      </c>
      <c r="W2005" s="276"/>
      <c r="X2005" s="276">
        <f t="shared" ca="1" si="283"/>
        <v>0</v>
      </c>
      <c r="Y2005" s="276"/>
      <c r="Z2005" s="276"/>
      <c r="AB2005" s="278" t="str">
        <f t="shared" si="284"/>
        <v/>
      </c>
    </row>
    <row r="2006" spans="1:28" s="277" customFormat="1" ht="20.25">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82"/>
        <v/>
      </c>
      <c r="T2006" s="225" t="str">
        <f ca="1">IF(B2006="","",IF(ISERROR(MATCH($J2006,SorP!$B$1:$B$6230,0)),"",INDIRECT("'SorP'!$A$"&amp;MATCH($J2006,SorP!$B$1:$B$6230,0))))</f>
        <v/>
      </c>
      <c r="U2006" s="241"/>
      <c r="V2006" s="275" t="e">
        <f>IF(C2006="",NA(),MATCH($B2006&amp;$C2006,'Smelter Look-up'!$J:$J,0))</f>
        <v>#N/A</v>
      </c>
      <c r="W2006" s="276"/>
      <c r="X2006" s="276">
        <f t="shared" ca="1" si="283"/>
        <v>0</v>
      </c>
      <c r="Y2006" s="276"/>
      <c r="Z2006" s="276"/>
      <c r="AB2006" s="278" t="str">
        <f t="shared" si="284"/>
        <v/>
      </c>
    </row>
    <row r="2007" spans="1:28" s="277" customFormat="1" ht="20.25">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82"/>
        <v/>
      </c>
      <c r="T2007" s="225" t="str">
        <f ca="1">IF(B2007="","",IF(ISERROR(MATCH($J2007,SorP!$B$1:$B$6230,0)),"",INDIRECT("'SorP'!$A$"&amp;MATCH($J2007,SorP!$B$1:$B$6230,0))))</f>
        <v/>
      </c>
      <c r="U2007" s="241"/>
      <c r="V2007" s="275" t="e">
        <f>IF(C2007="",NA(),MATCH($B2007&amp;$C2007,'Smelter Look-up'!$J:$J,0))</f>
        <v>#N/A</v>
      </c>
      <c r="W2007" s="276"/>
      <c r="X2007" s="276">
        <f t="shared" ca="1" si="283"/>
        <v>0</v>
      </c>
      <c r="Y2007" s="276"/>
      <c r="Z2007" s="276"/>
      <c r="AB2007" s="278" t="str">
        <f t="shared" si="284"/>
        <v/>
      </c>
    </row>
    <row r="2008" spans="1:28" s="277" customFormat="1" ht="20.25">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82"/>
        <v/>
      </c>
      <c r="T2008" s="225" t="str">
        <f ca="1">IF(B2008="","",IF(ISERROR(MATCH($J2008,SorP!$B$1:$B$6230,0)),"",INDIRECT("'SorP'!$A$"&amp;MATCH($J2008,SorP!$B$1:$B$6230,0))))</f>
        <v/>
      </c>
      <c r="U2008" s="241"/>
      <c r="V2008" s="275" t="e">
        <f>IF(C2008="",NA(),MATCH($B2008&amp;$C2008,'Smelter Look-up'!$J:$J,0))</f>
        <v>#N/A</v>
      </c>
      <c r="W2008" s="276"/>
      <c r="X2008" s="276">
        <f t="shared" ca="1" si="283"/>
        <v>0</v>
      </c>
      <c r="Y2008" s="276"/>
      <c r="Z2008" s="276"/>
      <c r="AB2008" s="278" t="str">
        <f t="shared" si="284"/>
        <v/>
      </c>
    </row>
    <row r="2009" spans="1:28" s="277" customFormat="1" ht="20.25">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82"/>
        <v/>
      </c>
      <c r="T2009" s="225" t="str">
        <f ca="1">IF(B2009="","",IF(ISERROR(MATCH($J2009,SorP!$B$1:$B$6230,0)),"",INDIRECT("'SorP'!$A$"&amp;MATCH($J2009,SorP!$B$1:$B$6230,0))))</f>
        <v/>
      </c>
      <c r="U2009" s="241"/>
      <c r="V2009" s="275" t="e">
        <f>IF(C2009="",NA(),MATCH($B2009&amp;$C2009,'Smelter Look-up'!$J:$J,0))</f>
        <v>#N/A</v>
      </c>
      <c r="W2009" s="276"/>
      <c r="X2009" s="276">
        <f t="shared" ca="1" si="283"/>
        <v>0</v>
      </c>
      <c r="Y2009" s="276"/>
      <c r="Z2009" s="276"/>
      <c r="AB2009" s="278" t="str">
        <f t="shared" si="284"/>
        <v/>
      </c>
    </row>
    <row r="2010" spans="1:28" s="277" customFormat="1" ht="20.25">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82"/>
        <v/>
      </c>
      <c r="T2010" s="225" t="str">
        <f ca="1">IF(B2010="","",IF(ISERROR(MATCH($J2010,SorP!$B$1:$B$6230,0)),"",INDIRECT("'SorP'!$A$"&amp;MATCH($J2010,SorP!$B$1:$B$6230,0))))</f>
        <v/>
      </c>
      <c r="U2010" s="241"/>
      <c r="V2010" s="275" t="e">
        <f>IF(C2010="",NA(),MATCH($B2010&amp;$C2010,'Smelter Look-up'!$J:$J,0))</f>
        <v>#N/A</v>
      </c>
      <c r="W2010" s="276"/>
      <c r="X2010" s="276">
        <f t="shared" ca="1" si="283"/>
        <v>0</v>
      </c>
      <c r="Y2010" s="276"/>
      <c r="Z2010" s="276"/>
      <c r="AB2010" s="278" t="str">
        <f t="shared" si="284"/>
        <v/>
      </c>
    </row>
    <row r="2011" spans="1:28" s="277" customFormat="1" ht="20.25">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282"/>
        <v/>
      </c>
      <c r="T2011" s="225" t="str">
        <f ca="1">IF(B2011="","",IF(ISERROR(MATCH($J2011,SorP!$B$1:$B$6230,0)),"",INDIRECT("'SorP'!$A$"&amp;MATCH($J2011,SorP!$B$1:$B$6230,0))))</f>
        <v/>
      </c>
      <c r="U2011" s="241"/>
      <c r="V2011" s="275" t="e">
        <f>IF(C2011="",NA(),MATCH($B2011&amp;$C2011,'Smelter Look-up'!$J:$J,0))</f>
        <v>#N/A</v>
      </c>
      <c r="W2011" s="276"/>
      <c r="X2011" s="276">
        <f t="shared" ca="1" si="283"/>
        <v>0</v>
      </c>
      <c r="Y2011" s="276"/>
      <c r="Z2011" s="276"/>
      <c r="AB2011" s="278" t="str">
        <f t="shared" si="284"/>
        <v/>
      </c>
    </row>
    <row r="2012" spans="1:28" s="277" customFormat="1" ht="20.25">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ref="S2012:S2042" ca="1" si="285">IF(B2012="","",IF(ISERROR(MATCH($E2012,CL,0)),"Unknown",INDIRECT("'C'!$A$"&amp;MATCH($E2012,CL,0)+1)))</f>
        <v/>
      </c>
      <c r="T2012" s="225" t="str">
        <f ca="1">IF(B2012="","",IF(ISERROR(MATCH($J2012,SorP!$B$1:$B$6230,0)),"",INDIRECT("'SorP'!$A$"&amp;MATCH($J2012,SorP!$B$1:$B$6230,0))))</f>
        <v/>
      </c>
      <c r="U2012" s="241"/>
      <c r="V2012" s="275" t="e">
        <f>IF(C2012="",NA(),MATCH($B2012&amp;$C2012,'Smelter Look-up'!$J:$J,0))</f>
        <v>#N/A</v>
      </c>
      <c r="W2012" s="276"/>
      <c r="X2012" s="276">
        <f t="shared" ref="X2012:X2042" ca="1" si="286">IF(AND(C2012="Smelter not listed",OR(LEN(D2012)=0,LEN(E2012)=0)),1,0)</f>
        <v>0</v>
      </c>
      <c r="Y2012" s="276"/>
      <c r="Z2012" s="276"/>
      <c r="AB2012" s="278" t="str">
        <f t="shared" ref="AB2012:AB2042" si="287">B2012&amp;C2012</f>
        <v/>
      </c>
    </row>
    <row r="2013" spans="1:28" s="277" customFormat="1" ht="20.25">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85"/>
        <v/>
      </c>
      <c r="T2013" s="225" t="str">
        <f ca="1">IF(B2013="","",IF(ISERROR(MATCH($J2013,SorP!$B$1:$B$6230,0)),"",INDIRECT("'SorP'!$A$"&amp;MATCH($J2013,SorP!$B$1:$B$6230,0))))</f>
        <v/>
      </c>
      <c r="U2013" s="241"/>
      <c r="V2013" s="275" t="e">
        <f>IF(C2013="",NA(),MATCH($B2013&amp;$C2013,'Smelter Look-up'!$J:$J,0))</f>
        <v>#N/A</v>
      </c>
      <c r="W2013" s="276"/>
      <c r="X2013" s="276">
        <f t="shared" ca="1" si="286"/>
        <v>0</v>
      </c>
      <c r="Y2013" s="276"/>
      <c r="Z2013" s="276"/>
      <c r="AB2013" s="278" t="str">
        <f t="shared" si="287"/>
        <v/>
      </c>
    </row>
    <row r="2014" spans="1:28" s="277" customFormat="1" ht="20.25">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85"/>
        <v/>
      </c>
      <c r="T2014" s="225" t="str">
        <f ca="1">IF(B2014="","",IF(ISERROR(MATCH($J2014,SorP!$B$1:$B$6230,0)),"",INDIRECT("'SorP'!$A$"&amp;MATCH($J2014,SorP!$B$1:$B$6230,0))))</f>
        <v/>
      </c>
      <c r="U2014" s="241"/>
      <c r="V2014" s="275" t="e">
        <f>IF(C2014="",NA(),MATCH($B2014&amp;$C2014,'Smelter Look-up'!$J:$J,0))</f>
        <v>#N/A</v>
      </c>
      <c r="W2014" s="276"/>
      <c r="X2014" s="276">
        <f t="shared" ca="1" si="286"/>
        <v>0</v>
      </c>
      <c r="Y2014" s="276"/>
      <c r="Z2014" s="276"/>
      <c r="AB2014" s="278" t="str">
        <f t="shared" si="287"/>
        <v/>
      </c>
    </row>
    <row r="2015" spans="1:28" s="277" customFormat="1" ht="20.25">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85"/>
        <v/>
      </c>
      <c r="T2015" s="225" t="str">
        <f ca="1">IF(B2015="","",IF(ISERROR(MATCH($J2015,SorP!$B$1:$B$6230,0)),"",INDIRECT("'SorP'!$A$"&amp;MATCH($J2015,SorP!$B$1:$B$6230,0))))</f>
        <v/>
      </c>
      <c r="U2015" s="241"/>
      <c r="V2015" s="275" t="e">
        <f>IF(C2015="",NA(),MATCH($B2015&amp;$C2015,'Smelter Look-up'!$J:$J,0))</f>
        <v>#N/A</v>
      </c>
      <c r="W2015" s="276"/>
      <c r="X2015" s="276">
        <f t="shared" ca="1" si="286"/>
        <v>0</v>
      </c>
      <c r="Y2015" s="276"/>
      <c r="Z2015" s="276"/>
      <c r="AB2015" s="278" t="str">
        <f t="shared" si="287"/>
        <v/>
      </c>
    </row>
    <row r="2016" spans="1:28" s="277" customFormat="1" ht="20.25">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85"/>
        <v/>
      </c>
      <c r="T2016" s="225" t="str">
        <f ca="1">IF(B2016="","",IF(ISERROR(MATCH($J2016,SorP!$B$1:$B$6230,0)),"",INDIRECT("'SorP'!$A$"&amp;MATCH($J2016,SorP!$B$1:$B$6230,0))))</f>
        <v/>
      </c>
      <c r="U2016" s="241"/>
      <c r="V2016" s="275" t="e">
        <f>IF(C2016="",NA(),MATCH($B2016&amp;$C2016,'Smelter Look-up'!$J:$J,0))</f>
        <v>#N/A</v>
      </c>
      <c r="W2016" s="276"/>
      <c r="X2016" s="276">
        <f t="shared" ca="1" si="286"/>
        <v>0</v>
      </c>
      <c r="Y2016" s="276"/>
      <c r="Z2016" s="276"/>
      <c r="AB2016" s="278" t="str">
        <f t="shared" si="287"/>
        <v/>
      </c>
    </row>
    <row r="2017" spans="1:28" s="277" customFormat="1" ht="20.25">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85"/>
        <v/>
      </c>
      <c r="T2017" s="225" t="str">
        <f ca="1">IF(B2017="","",IF(ISERROR(MATCH($J2017,SorP!$B$1:$B$6230,0)),"",INDIRECT("'SorP'!$A$"&amp;MATCH($J2017,SorP!$B$1:$B$6230,0))))</f>
        <v/>
      </c>
      <c r="U2017" s="241"/>
      <c r="V2017" s="275" t="e">
        <f>IF(C2017="",NA(),MATCH($B2017&amp;$C2017,'Smelter Look-up'!$J:$J,0))</f>
        <v>#N/A</v>
      </c>
      <c r="W2017" s="276"/>
      <c r="X2017" s="276">
        <f t="shared" ca="1" si="286"/>
        <v>0</v>
      </c>
      <c r="Y2017" s="276"/>
      <c r="Z2017" s="276"/>
      <c r="AB2017" s="278" t="str">
        <f t="shared" si="287"/>
        <v/>
      </c>
    </row>
    <row r="2018" spans="1:28" s="277" customFormat="1" ht="20.25">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85"/>
        <v/>
      </c>
      <c r="T2018" s="225" t="str">
        <f ca="1">IF(B2018="","",IF(ISERROR(MATCH($J2018,SorP!$B$1:$B$6230,0)),"",INDIRECT("'SorP'!$A$"&amp;MATCH($J2018,SorP!$B$1:$B$6230,0))))</f>
        <v/>
      </c>
      <c r="U2018" s="241"/>
      <c r="V2018" s="275" t="e">
        <f>IF(C2018="",NA(),MATCH($B2018&amp;$C2018,'Smelter Look-up'!$J:$J,0))</f>
        <v>#N/A</v>
      </c>
      <c r="W2018" s="276"/>
      <c r="X2018" s="276">
        <f t="shared" ca="1" si="286"/>
        <v>0</v>
      </c>
      <c r="Y2018" s="276"/>
      <c r="Z2018" s="276"/>
      <c r="AB2018" s="278" t="str">
        <f t="shared" si="287"/>
        <v/>
      </c>
    </row>
    <row r="2019" spans="1:28" s="277" customFormat="1" ht="20.25">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85"/>
        <v/>
      </c>
      <c r="T2019" s="225" t="str">
        <f ca="1">IF(B2019="","",IF(ISERROR(MATCH($J2019,SorP!$B$1:$B$6230,0)),"",INDIRECT("'SorP'!$A$"&amp;MATCH($J2019,SorP!$B$1:$B$6230,0))))</f>
        <v/>
      </c>
      <c r="U2019" s="241"/>
      <c r="V2019" s="275" t="e">
        <f>IF(C2019="",NA(),MATCH($B2019&amp;$C2019,'Smelter Look-up'!$J:$J,0))</f>
        <v>#N/A</v>
      </c>
      <c r="W2019" s="276"/>
      <c r="X2019" s="276">
        <f t="shared" ca="1" si="286"/>
        <v>0</v>
      </c>
      <c r="Y2019" s="276"/>
      <c r="Z2019" s="276"/>
      <c r="AB2019" s="278" t="str">
        <f t="shared" si="287"/>
        <v/>
      </c>
    </row>
    <row r="2020" spans="1:28" s="277" customFormat="1" ht="20.25">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85"/>
        <v/>
      </c>
      <c r="T2020" s="225" t="str">
        <f ca="1">IF(B2020="","",IF(ISERROR(MATCH($J2020,SorP!$B$1:$B$6230,0)),"",INDIRECT("'SorP'!$A$"&amp;MATCH($J2020,SorP!$B$1:$B$6230,0))))</f>
        <v/>
      </c>
      <c r="U2020" s="241"/>
      <c r="V2020" s="275" t="e">
        <f>IF(C2020="",NA(),MATCH($B2020&amp;$C2020,'Smelter Look-up'!$J:$J,0))</f>
        <v>#N/A</v>
      </c>
      <c r="W2020" s="276"/>
      <c r="X2020" s="276">
        <f t="shared" ca="1" si="286"/>
        <v>0</v>
      </c>
      <c r="Y2020" s="276"/>
      <c r="Z2020" s="276"/>
      <c r="AB2020" s="278" t="str">
        <f t="shared" si="287"/>
        <v/>
      </c>
    </row>
    <row r="2021" spans="1:28" s="277" customFormat="1" ht="20.25">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85"/>
        <v/>
      </c>
      <c r="T2021" s="225" t="str">
        <f ca="1">IF(B2021="","",IF(ISERROR(MATCH($J2021,SorP!$B$1:$B$6230,0)),"",INDIRECT("'SorP'!$A$"&amp;MATCH($J2021,SorP!$B$1:$B$6230,0))))</f>
        <v/>
      </c>
      <c r="U2021" s="241"/>
      <c r="V2021" s="275" t="e">
        <f>IF(C2021="",NA(),MATCH($B2021&amp;$C2021,'Smelter Look-up'!$J:$J,0))</f>
        <v>#N/A</v>
      </c>
      <c r="W2021" s="276"/>
      <c r="X2021" s="276">
        <f t="shared" ca="1" si="286"/>
        <v>0</v>
      </c>
      <c r="Y2021" s="276"/>
      <c r="Z2021" s="276"/>
      <c r="AB2021" s="278" t="str">
        <f t="shared" si="287"/>
        <v/>
      </c>
    </row>
    <row r="2022" spans="1:28" s="277" customFormat="1" ht="20.25">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85"/>
        <v/>
      </c>
      <c r="T2022" s="225" t="str">
        <f ca="1">IF(B2022="","",IF(ISERROR(MATCH($J2022,SorP!$B$1:$B$6230,0)),"",INDIRECT("'SorP'!$A$"&amp;MATCH($J2022,SorP!$B$1:$B$6230,0))))</f>
        <v/>
      </c>
      <c r="U2022" s="241"/>
      <c r="V2022" s="275" t="e">
        <f>IF(C2022="",NA(),MATCH($B2022&amp;$C2022,'Smelter Look-up'!$J:$J,0))</f>
        <v>#N/A</v>
      </c>
      <c r="W2022" s="276"/>
      <c r="X2022" s="276">
        <f t="shared" ca="1" si="286"/>
        <v>0</v>
      </c>
      <c r="Y2022" s="276"/>
      <c r="Z2022" s="276"/>
      <c r="AB2022" s="278" t="str">
        <f t="shared" si="287"/>
        <v/>
      </c>
    </row>
    <row r="2023" spans="1:28" s="277" customFormat="1" ht="20.25">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85"/>
        <v/>
      </c>
      <c r="T2023" s="225" t="str">
        <f ca="1">IF(B2023="","",IF(ISERROR(MATCH($J2023,SorP!$B$1:$B$6230,0)),"",INDIRECT("'SorP'!$A$"&amp;MATCH($J2023,SorP!$B$1:$B$6230,0))))</f>
        <v/>
      </c>
      <c r="U2023" s="241"/>
      <c r="V2023" s="275" t="e">
        <f>IF(C2023="",NA(),MATCH($B2023&amp;$C2023,'Smelter Look-up'!$J:$J,0))</f>
        <v>#N/A</v>
      </c>
      <c r="W2023" s="276"/>
      <c r="X2023" s="276">
        <f t="shared" ca="1" si="286"/>
        <v>0</v>
      </c>
      <c r="Y2023" s="276"/>
      <c r="Z2023" s="276"/>
      <c r="AB2023" s="278" t="str">
        <f t="shared" si="287"/>
        <v/>
      </c>
    </row>
    <row r="2024" spans="1:28" s="277" customFormat="1" ht="20.25">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85"/>
        <v/>
      </c>
      <c r="T2024" s="225" t="str">
        <f ca="1">IF(B2024="","",IF(ISERROR(MATCH($J2024,SorP!$B$1:$B$6230,0)),"",INDIRECT("'SorP'!$A$"&amp;MATCH($J2024,SorP!$B$1:$B$6230,0))))</f>
        <v/>
      </c>
      <c r="U2024" s="241"/>
      <c r="V2024" s="275" t="e">
        <f>IF(C2024="",NA(),MATCH($B2024&amp;$C2024,'Smelter Look-up'!$J:$J,0))</f>
        <v>#N/A</v>
      </c>
      <c r="W2024" s="276"/>
      <c r="X2024" s="276">
        <f t="shared" ca="1" si="286"/>
        <v>0</v>
      </c>
      <c r="Y2024" s="276"/>
      <c r="Z2024" s="276"/>
      <c r="AB2024" s="278" t="str">
        <f t="shared" si="287"/>
        <v/>
      </c>
    </row>
    <row r="2025" spans="1:28" s="277" customFormat="1" ht="20.25">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85"/>
        <v/>
      </c>
      <c r="T2025" s="225" t="str">
        <f ca="1">IF(B2025="","",IF(ISERROR(MATCH($J2025,SorP!$B$1:$B$6230,0)),"",INDIRECT("'SorP'!$A$"&amp;MATCH($J2025,SorP!$B$1:$B$6230,0))))</f>
        <v/>
      </c>
      <c r="U2025" s="241"/>
      <c r="V2025" s="275" t="e">
        <f>IF(C2025="",NA(),MATCH($B2025&amp;$C2025,'Smelter Look-up'!$J:$J,0))</f>
        <v>#N/A</v>
      </c>
      <c r="W2025" s="276"/>
      <c r="X2025" s="276">
        <f t="shared" ca="1" si="286"/>
        <v>0</v>
      </c>
      <c r="Y2025" s="276"/>
      <c r="Z2025" s="276"/>
      <c r="AB2025" s="278" t="str">
        <f t="shared" si="287"/>
        <v/>
      </c>
    </row>
    <row r="2026" spans="1:28" s="277" customFormat="1" ht="20.25">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85"/>
        <v/>
      </c>
      <c r="T2026" s="225" t="str">
        <f ca="1">IF(B2026="","",IF(ISERROR(MATCH($J2026,SorP!$B$1:$B$6230,0)),"",INDIRECT("'SorP'!$A$"&amp;MATCH($J2026,SorP!$B$1:$B$6230,0))))</f>
        <v/>
      </c>
      <c r="U2026" s="241"/>
      <c r="V2026" s="275" t="e">
        <f>IF(C2026="",NA(),MATCH($B2026&amp;$C2026,'Smelter Look-up'!$J:$J,0))</f>
        <v>#N/A</v>
      </c>
      <c r="W2026" s="276"/>
      <c r="X2026" s="276">
        <f t="shared" ca="1" si="286"/>
        <v>0</v>
      </c>
      <c r="Y2026" s="276"/>
      <c r="Z2026" s="276"/>
      <c r="AB2026" s="278" t="str">
        <f t="shared" si="287"/>
        <v/>
      </c>
    </row>
    <row r="2027" spans="1:28" s="277" customFormat="1" ht="20.25">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85"/>
        <v/>
      </c>
      <c r="T2027" s="225" t="str">
        <f ca="1">IF(B2027="","",IF(ISERROR(MATCH($J2027,SorP!$B$1:$B$6230,0)),"",INDIRECT("'SorP'!$A$"&amp;MATCH($J2027,SorP!$B$1:$B$6230,0))))</f>
        <v/>
      </c>
      <c r="U2027" s="241"/>
      <c r="V2027" s="275" t="e">
        <f>IF(C2027="",NA(),MATCH($B2027&amp;$C2027,'Smelter Look-up'!$J:$J,0))</f>
        <v>#N/A</v>
      </c>
      <c r="W2027" s="276"/>
      <c r="X2027" s="276">
        <f t="shared" ca="1" si="286"/>
        <v>0</v>
      </c>
      <c r="Y2027" s="276"/>
      <c r="Z2027" s="276"/>
      <c r="AB2027" s="278" t="str">
        <f t="shared" si="287"/>
        <v/>
      </c>
    </row>
    <row r="2028" spans="1:28" s="277" customFormat="1" ht="20.25">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85"/>
        <v/>
      </c>
      <c r="T2028" s="225" t="str">
        <f ca="1">IF(B2028="","",IF(ISERROR(MATCH($J2028,SorP!$B$1:$B$6230,0)),"",INDIRECT("'SorP'!$A$"&amp;MATCH($J2028,SorP!$B$1:$B$6230,0))))</f>
        <v/>
      </c>
      <c r="U2028" s="241"/>
      <c r="V2028" s="275" t="e">
        <f>IF(C2028="",NA(),MATCH($B2028&amp;$C2028,'Smelter Look-up'!$J:$J,0))</f>
        <v>#N/A</v>
      </c>
      <c r="W2028" s="276"/>
      <c r="X2028" s="276">
        <f t="shared" ca="1" si="286"/>
        <v>0</v>
      </c>
      <c r="Y2028" s="276"/>
      <c r="Z2028" s="276"/>
      <c r="AB2028" s="278" t="str">
        <f t="shared" si="287"/>
        <v/>
      </c>
    </row>
    <row r="2029" spans="1:28" s="277" customFormat="1" ht="20.25">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85"/>
        <v/>
      </c>
      <c r="T2029" s="225" t="str">
        <f ca="1">IF(B2029="","",IF(ISERROR(MATCH($J2029,SorP!$B$1:$B$6230,0)),"",INDIRECT("'SorP'!$A$"&amp;MATCH($J2029,SorP!$B$1:$B$6230,0))))</f>
        <v/>
      </c>
      <c r="U2029" s="241"/>
      <c r="V2029" s="275" t="e">
        <f>IF(C2029="",NA(),MATCH($B2029&amp;$C2029,'Smelter Look-up'!$J:$J,0))</f>
        <v>#N/A</v>
      </c>
      <c r="W2029" s="276"/>
      <c r="X2029" s="276">
        <f t="shared" ca="1" si="286"/>
        <v>0</v>
      </c>
      <c r="Y2029" s="276"/>
      <c r="Z2029" s="276"/>
      <c r="AB2029" s="278" t="str">
        <f t="shared" si="287"/>
        <v/>
      </c>
    </row>
    <row r="2030" spans="1:28" s="277" customFormat="1" ht="20.25">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85"/>
        <v/>
      </c>
      <c r="T2030" s="225" t="str">
        <f ca="1">IF(B2030="","",IF(ISERROR(MATCH($J2030,SorP!$B$1:$B$6230,0)),"",INDIRECT("'SorP'!$A$"&amp;MATCH($J2030,SorP!$B$1:$B$6230,0))))</f>
        <v/>
      </c>
      <c r="U2030" s="241"/>
      <c r="V2030" s="275" t="e">
        <f>IF(C2030="",NA(),MATCH($B2030&amp;$C2030,'Smelter Look-up'!$J:$J,0))</f>
        <v>#N/A</v>
      </c>
      <c r="W2030" s="276"/>
      <c r="X2030" s="276">
        <f t="shared" ca="1" si="286"/>
        <v>0</v>
      </c>
      <c r="Y2030" s="276"/>
      <c r="Z2030" s="276"/>
      <c r="AB2030" s="278" t="str">
        <f t="shared" si="287"/>
        <v/>
      </c>
    </row>
    <row r="2031" spans="1:28" s="277" customFormat="1" ht="20.25">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285"/>
        <v/>
      </c>
      <c r="T2031" s="225" t="str">
        <f ca="1">IF(B2031="","",IF(ISERROR(MATCH($J2031,SorP!$B$1:$B$6230,0)),"",INDIRECT("'SorP'!$A$"&amp;MATCH($J2031,SorP!$B$1:$B$6230,0))))</f>
        <v/>
      </c>
      <c r="U2031" s="241"/>
      <c r="V2031" s="275" t="e">
        <f>IF(C2031="",NA(),MATCH($B2031&amp;$C2031,'Smelter Look-up'!$J:$J,0))</f>
        <v>#N/A</v>
      </c>
      <c r="W2031" s="276"/>
      <c r="X2031" s="276">
        <f t="shared" ca="1" si="286"/>
        <v>0</v>
      </c>
      <c r="Y2031" s="276"/>
      <c r="Z2031" s="276"/>
      <c r="AB2031" s="278" t="str">
        <f t="shared" si="287"/>
        <v/>
      </c>
    </row>
    <row r="2032" spans="1:28" s="277" customFormat="1" ht="20.25">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285"/>
        <v/>
      </c>
      <c r="T2032" s="225" t="str">
        <f ca="1">IF(B2032="","",IF(ISERROR(MATCH($J2032,SorP!$B$1:$B$6230,0)),"",INDIRECT("'SorP'!$A$"&amp;MATCH($J2032,SorP!$B$1:$B$6230,0))))</f>
        <v/>
      </c>
      <c r="U2032" s="241"/>
      <c r="V2032" s="275" t="e">
        <f>IF(C2032="",NA(),MATCH($B2032&amp;$C2032,'Smelter Look-up'!$J:$J,0))</f>
        <v>#N/A</v>
      </c>
      <c r="W2032" s="276"/>
      <c r="X2032" s="276">
        <f t="shared" ca="1" si="286"/>
        <v>0</v>
      </c>
      <c r="Y2032" s="276"/>
      <c r="Z2032" s="276"/>
      <c r="AB2032" s="278" t="str">
        <f t="shared" si="287"/>
        <v/>
      </c>
    </row>
    <row r="2033" spans="1:28" s="277" customFormat="1" ht="20.25">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285"/>
        <v/>
      </c>
      <c r="T2033" s="225" t="str">
        <f ca="1">IF(B2033="","",IF(ISERROR(MATCH($J2033,SorP!$B$1:$B$6230,0)),"",INDIRECT("'SorP'!$A$"&amp;MATCH($J2033,SorP!$B$1:$B$6230,0))))</f>
        <v/>
      </c>
      <c r="U2033" s="241"/>
      <c r="V2033" s="275" t="e">
        <f>IF(C2033="",NA(),MATCH($B2033&amp;$C2033,'Smelter Look-up'!$J:$J,0))</f>
        <v>#N/A</v>
      </c>
      <c r="W2033" s="276"/>
      <c r="X2033" s="276">
        <f t="shared" ca="1" si="286"/>
        <v>0</v>
      </c>
      <c r="Y2033" s="276"/>
      <c r="Z2033" s="276"/>
      <c r="AB2033" s="278" t="str">
        <f t="shared" si="287"/>
        <v/>
      </c>
    </row>
    <row r="2034" spans="1:28" s="277" customFormat="1" ht="20.25">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285"/>
        <v/>
      </c>
      <c r="T2034" s="225" t="str">
        <f ca="1">IF(B2034="","",IF(ISERROR(MATCH($J2034,SorP!$B$1:$B$6230,0)),"",INDIRECT("'SorP'!$A$"&amp;MATCH($J2034,SorP!$B$1:$B$6230,0))))</f>
        <v/>
      </c>
      <c r="U2034" s="241"/>
      <c r="V2034" s="275" t="e">
        <f>IF(C2034="",NA(),MATCH($B2034&amp;$C2034,'Smelter Look-up'!$J:$J,0))</f>
        <v>#N/A</v>
      </c>
      <c r="W2034" s="276"/>
      <c r="X2034" s="276">
        <f t="shared" ca="1" si="286"/>
        <v>0</v>
      </c>
      <c r="Y2034" s="276"/>
      <c r="Z2034" s="276"/>
      <c r="AB2034" s="278" t="str">
        <f t="shared" si="287"/>
        <v/>
      </c>
    </row>
    <row r="2035" spans="1:28" s="277" customFormat="1" ht="20.25">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285"/>
        <v/>
      </c>
      <c r="T2035" s="225" t="str">
        <f ca="1">IF(B2035="","",IF(ISERROR(MATCH($J2035,SorP!$B$1:$B$6230,0)),"",INDIRECT("'SorP'!$A$"&amp;MATCH($J2035,SorP!$B$1:$B$6230,0))))</f>
        <v/>
      </c>
      <c r="U2035" s="241"/>
      <c r="V2035" s="275" t="e">
        <f>IF(C2035="",NA(),MATCH($B2035&amp;$C2035,'Smelter Look-up'!$J:$J,0))</f>
        <v>#N/A</v>
      </c>
      <c r="W2035" s="276"/>
      <c r="X2035" s="276">
        <f t="shared" ca="1" si="286"/>
        <v>0</v>
      </c>
      <c r="Y2035" s="276"/>
      <c r="Z2035" s="276"/>
      <c r="AB2035" s="278" t="str">
        <f t="shared" si="287"/>
        <v/>
      </c>
    </row>
    <row r="2036" spans="1:28" s="277" customFormat="1" ht="20.25">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285"/>
        <v/>
      </c>
      <c r="T2036" s="225" t="str">
        <f ca="1">IF(B2036="","",IF(ISERROR(MATCH($J2036,SorP!$B$1:$B$6230,0)),"",INDIRECT("'SorP'!$A$"&amp;MATCH($J2036,SorP!$B$1:$B$6230,0))))</f>
        <v/>
      </c>
      <c r="U2036" s="241"/>
      <c r="V2036" s="275" t="e">
        <f>IF(C2036="",NA(),MATCH($B2036&amp;$C2036,'Smelter Look-up'!$J:$J,0))</f>
        <v>#N/A</v>
      </c>
      <c r="W2036" s="276"/>
      <c r="X2036" s="276">
        <f t="shared" ca="1" si="286"/>
        <v>0</v>
      </c>
      <c r="Y2036" s="276"/>
      <c r="Z2036" s="276"/>
      <c r="AB2036" s="278" t="str">
        <f t="shared" si="287"/>
        <v/>
      </c>
    </row>
    <row r="2037" spans="1:28" s="277" customFormat="1" ht="20.25">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285"/>
        <v/>
      </c>
      <c r="T2037" s="225" t="str">
        <f ca="1">IF(B2037="","",IF(ISERROR(MATCH($J2037,SorP!$B$1:$B$6230,0)),"",INDIRECT("'SorP'!$A$"&amp;MATCH($J2037,SorP!$B$1:$B$6230,0))))</f>
        <v/>
      </c>
      <c r="U2037" s="241"/>
      <c r="V2037" s="275" t="e">
        <f>IF(C2037="",NA(),MATCH($B2037&amp;$C2037,'Smelter Look-up'!$J:$J,0))</f>
        <v>#N/A</v>
      </c>
      <c r="W2037" s="276"/>
      <c r="X2037" s="276">
        <f t="shared" ca="1" si="286"/>
        <v>0</v>
      </c>
      <c r="Y2037" s="276"/>
      <c r="Z2037" s="276"/>
      <c r="AB2037" s="278" t="str">
        <f t="shared" si="287"/>
        <v/>
      </c>
    </row>
    <row r="2038" spans="1:28" s="277" customFormat="1" ht="20.25">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285"/>
        <v/>
      </c>
      <c r="T2038" s="225" t="str">
        <f ca="1">IF(B2038="","",IF(ISERROR(MATCH($J2038,SorP!$B$1:$B$6230,0)),"",INDIRECT("'SorP'!$A$"&amp;MATCH($J2038,SorP!$B$1:$B$6230,0))))</f>
        <v/>
      </c>
      <c r="U2038" s="241"/>
      <c r="V2038" s="275" t="e">
        <f>IF(C2038="",NA(),MATCH($B2038&amp;$C2038,'Smelter Look-up'!$J:$J,0))</f>
        <v>#N/A</v>
      </c>
      <c r="W2038" s="276"/>
      <c r="X2038" s="276">
        <f t="shared" ca="1" si="286"/>
        <v>0</v>
      </c>
      <c r="Y2038" s="276"/>
      <c r="Z2038" s="276"/>
      <c r="AB2038" s="278" t="str">
        <f t="shared" si="287"/>
        <v/>
      </c>
    </row>
    <row r="2039" spans="1:28" s="277" customFormat="1" ht="20.25">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285"/>
        <v/>
      </c>
      <c r="T2039" s="225" t="str">
        <f ca="1">IF(B2039="","",IF(ISERROR(MATCH($J2039,SorP!$B$1:$B$6230,0)),"",INDIRECT("'SorP'!$A$"&amp;MATCH($J2039,SorP!$B$1:$B$6230,0))))</f>
        <v/>
      </c>
      <c r="U2039" s="241"/>
      <c r="V2039" s="275" t="e">
        <f>IF(C2039="",NA(),MATCH($B2039&amp;$C2039,'Smelter Look-up'!$J:$J,0))</f>
        <v>#N/A</v>
      </c>
      <c r="W2039" s="276"/>
      <c r="X2039" s="276">
        <f t="shared" ca="1" si="286"/>
        <v>0</v>
      </c>
      <c r="Y2039" s="276"/>
      <c r="Z2039" s="276"/>
      <c r="AB2039" s="278" t="str">
        <f t="shared" si="287"/>
        <v/>
      </c>
    </row>
    <row r="2040" spans="1:28" s="277" customFormat="1" ht="20.25">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285"/>
        <v/>
      </c>
      <c r="T2040" s="225" t="str">
        <f ca="1">IF(B2040="","",IF(ISERROR(MATCH($J2040,SorP!$B$1:$B$6230,0)),"",INDIRECT("'SorP'!$A$"&amp;MATCH($J2040,SorP!$B$1:$B$6230,0))))</f>
        <v/>
      </c>
      <c r="U2040" s="241"/>
      <c r="V2040" s="275" t="e">
        <f>IF(C2040="",NA(),MATCH($B2040&amp;$C2040,'Smelter Look-up'!$J:$J,0))</f>
        <v>#N/A</v>
      </c>
      <c r="W2040" s="276"/>
      <c r="X2040" s="276">
        <f t="shared" ca="1" si="286"/>
        <v>0</v>
      </c>
      <c r="Y2040" s="276"/>
      <c r="Z2040" s="276"/>
      <c r="AB2040" s="278" t="str">
        <f t="shared" si="287"/>
        <v/>
      </c>
    </row>
    <row r="2041" spans="1:28" s="277" customFormat="1" ht="20.25">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285"/>
        <v/>
      </c>
      <c r="T2041" s="225" t="str">
        <f ca="1">IF(B2041="","",IF(ISERROR(MATCH($J2041,SorP!$B$1:$B$6230,0)),"",INDIRECT("'SorP'!$A$"&amp;MATCH($J2041,SorP!$B$1:$B$6230,0))))</f>
        <v/>
      </c>
      <c r="U2041" s="241"/>
      <c r="V2041" s="275" t="e">
        <f>IF(C2041="",NA(),MATCH($B2041&amp;$C2041,'Smelter Look-up'!$J:$J,0))</f>
        <v>#N/A</v>
      </c>
      <c r="W2041" s="276"/>
      <c r="X2041" s="276">
        <f t="shared" ca="1" si="286"/>
        <v>0</v>
      </c>
      <c r="Y2041" s="276"/>
      <c r="Z2041" s="276"/>
      <c r="AB2041" s="278" t="str">
        <f t="shared" si="287"/>
        <v/>
      </c>
    </row>
    <row r="2042" spans="1:28" s="277" customFormat="1" ht="20.25">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285"/>
        <v/>
      </c>
      <c r="T2042" s="225" t="str">
        <f ca="1">IF(B2042="","",IF(ISERROR(MATCH($J2042,SorP!$B$1:$B$6230,0)),"",INDIRECT("'SorP'!$A$"&amp;MATCH($J2042,SorP!$B$1:$B$6230,0))))</f>
        <v/>
      </c>
      <c r="U2042" s="241"/>
      <c r="V2042" s="275" t="e">
        <f>IF(C2042="",NA(),MATCH($B2042&amp;$C2042,'Smelter Look-up'!$J:$J,0))</f>
        <v>#N/A</v>
      </c>
      <c r="W2042" s="276"/>
      <c r="X2042" s="276">
        <f t="shared" ca="1" si="286"/>
        <v>0</v>
      </c>
      <c r="Y2042" s="276"/>
      <c r="Z2042" s="276"/>
      <c r="AB2042" s="278" t="str">
        <f t="shared" si="287"/>
        <v/>
      </c>
    </row>
    <row r="2043" spans="1:28" s="277" customFormat="1" ht="20.25">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ref="S2043" ca="1" si="288">IF(B2043="","",IF(ISERROR(MATCH($E2043,CL,0)),"Unknown",INDIRECT("'C'!$A$"&amp;MATCH($E2043,CL,0)+1)))</f>
        <v/>
      </c>
      <c r="T2043" s="225" t="str">
        <f ca="1">IF(B2043="","",IF(ISERROR(MATCH($J2043,SorP!$B$1:$B$6230,0)),"",INDIRECT("'SorP'!$A$"&amp;MATCH($J2043,SorP!$B$1:$B$6230,0))))</f>
        <v/>
      </c>
      <c r="U2043" s="241"/>
      <c r="V2043" s="275" t="e">
        <f>IF(C2043="",NA(),MATCH($B2043&amp;$C2043,'Smelter Look-up'!$J:$J,0))</f>
        <v>#N/A</v>
      </c>
      <c r="W2043" s="276"/>
      <c r="X2043" s="276">
        <f t="shared" ref="X2043" ca="1" si="289">IF(AND(C2043="Smelter not listed",OR(LEN(D2043)=0,LEN(E2043)=0)),1,0)</f>
        <v>0</v>
      </c>
      <c r="Y2043" s="276"/>
      <c r="Z2043" s="276"/>
      <c r="AB2043" s="278" t="str">
        <f t="shared" ref="AB2043" si="290">B2043&amp;C2043</f>
        <v/>
      </c>
    </row>
    <row r="2044" spans="1:28" s="277" customFormat="1" ht="20.25">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ref="S2044:S2075" ca="1" si="291">IF(B2044="","",IF(ISERROR(MATCH($E2044,CL,0)),"Unknown",INDIRECT("'C'!$A$"&amp;MATCH($E2044,CL,0)+1)))</f>
        <v/>
      </c>
      <c r="T2044" s="225" t="str">
        <f ca="1">IF(B2044="","",IF(ISERROR(MATCH($J2044,SorP!$B$1:$B$6230,0)),"",INDIRECT("'SorP'!$A$"&amp;MATCH($J2044,SorP!$B$1:$B$6230,0))))</f>
        <v/>
      </c>
      <c r="U2044" s="241"/>
      <c r="V2044" s="275" t="e">
        <f>IF(C2044="",NA(),MATCH($B2044&amp;$C2044,'Smelter Look-up'!$J:$J,0))</f>
        <v>#N/A</v>
      </c>
      <c r="W2044" s="276"/>
      <c r="X2044" s="276">
        <f t="shared" ref="X2044:X2075" ca="1" si="292">IF(AND(C2044="Smelter not listed",OR(LEN(D2044)=0,LEN(E2044)=0)),1,0)</f>
        <v>0</v>
      </c>
      <c r="Y2044" s="276"/>
      <c r="Z2044" s="276"/>
      <c r="AB2044" s="278" t="str">
        <f t="shared" ref="AB2044:AB2075" si="293">B2044&amp;C2044</f>
        <v/>
      </c>
    </row>
    <row r="2045" spans="1:28" s="277" customFormat="1" ht="20.25">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291"/>
        <v/>
      </c>
      <c r="T2045" s="225" t="str">
        <f ca="1">IF(B2045="","",IF(ISERROR(MATCH($J2045,SorP!$B$1:$B$6230,0)),"",INDIRECT("'SorP'!$A$"&amp;MATCH($J2045,SorP!$B$1:$B$6230,0))))</f>
        <v/>
      </c>
      <c r="U2045" s="241"/>
      <c r="V2045" s="275" t="e">
        <f>IF(C2045="",NA(),MATCH($B2045&amp;$C2045,'Smelter Look-up'!$J:$J,0))</f>
        <v>#N/A</v>
      </c>
      <c r="W2045" s="276"/>
      <c r="X2045" s="276">
        <f t="shared" ca="1" si="292"/>
        <v>0</v>
      </c>
      <c r="Y2045" s="276"/>
      <c r="Z2045" s="276"/>
      <c r="AB2045" s="278" t="str">
        <f t="shared" si="293"/>
        <v/>
      </c>
    </row>
    <row r="2046" spans="1:28" s="277" customFormat="1" ht="20.25">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291"/>
        <v/>
      </c>
      <c r="T2046" s="225" t="str">
        <f ca="1">IF(B2046="","",IF(ISERROR(MATCH($J2046,SorP!$B$1:$B$6230,0)),"",INDIRECT("'SorP'!$A$"&amp;MATCH($J2046,SorP!$B$1:$B$6230,0))))</f>
        <v/>
      </c>
      <c r="U2046" s="241"/>
      <c r="V2046" s="275" t="e">
        <f>IF(C2046="",NA(),MATCH($B2046&amp;$C2046,'Smelter Look-up'!$J:$J,0))</f>
        <v>#N/A</v>
      </c>
      <c r="W2046" s="276"/>
      <c r="X2046" s="276">
        <f t="shared" ca="1" si="292"/>
        <v>0</v>
      </c>
      <c r="Y2046" s="276"/>
      <c r="Z2046" s="276"/>
      <c r="AB2046" s="278" t="str">
        <f t="shared" si="293"/>
        <v/>
      </c>
    </row>
    <row r="2047" spans="1:28" s="277" customFormat="1" ht="20.25">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291"/>
        <v/>
      </c>
      <c r="T2047" s="225" t="str">
        <f ca="1">IF(B2047="","",IF(ISERROR(MATCH($J2047,SorP!$B$1:$B$6230,0)),"",INDIRECT("'SorP'!$A$"&amp;MATCH($J2047,SorP!$B$1:$B$6230,0))))</f>
        <v/>
      </c>
      <c r="U2047" s="241"/>
      <c r="V2047" s="275" t="e">
        <f>IF(C2047="",NA(),MATCH($B2047&amp;$C2047,'Smelter Look-up'!$J:$J,0))</f>
        <v>#N/A</v>
      </c>
      <c r="W2047" s="276"/>
      <c r="X2047" s="276">
        <f t="shared" ca="1" si="292"/>
        <v>0</v>
      </c>
      <c r="Y2047" s="276"/>
      <c r="Z2047" s="276"/>
      <c r="AB2047" s="278" t="str">
        <f t="shared" si="293"/>
        <v/>
      </c>
    </row>
    <row r="2048" spans="1:28" s="277" customFormat="1" ht="20.25">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291"/>
        <v/>
      </c>
      <c r="T2048" s="225" t="str">
        <f ca="1">IF(B2048="","",IF(ISERROR(MATCH($J2048,SorP!$B$1:$B$6230,0)),"",INDIRECT("'SorP'!$A$"&amp;MATCH($J2048,SorP!$B$1:$B$6230,0))))</f>
        <v/>
      </c>
      <c r="U2048" s="241"/>
      <c r="V2048" s="275" t="e">
        <f>IF(C2048="",NA(),MATCH($B2048&amp;$C2048,'Smelter Look-up'!$J:$J,0))</f>
        <v>#N/A</v>
      </c>
      <c r="W2048" s="276"/>
      <c r="X2048" s="276">
        <f t="shared" ca="1" si="292"/>
        <v>0</v>
      </c>
      <c r="Y2048" s="276"/>
      <c r="Z2048" s="276"/>
      <c r="AB2048" s="278" t="str">
        <f t="shared" si="293"/>
        <v/>
      </c>
    </row>
    <row r="2049" spans="1:28" s="277" customFormat="1" ht="20.25">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291"/>
        <v/>
      </c>
      <c r="T2049" s="225" t="str">
        <f ca="1">IF(B2049="","",IF(ISERROR(MATCH($J2049,SorP!$B$1:$B$6230,0)),"",INDIRECT("'SorP'!$A$"&amp;MATCH($J2049,SorP!$B$1:$B$6230,0))))</f>
        <v/>
      </c>
      <c r="U2049" s="241"/>
      <c r="V2049" s="275" t="e">
        <f>IF(C2049="",NA(),MATCH($B2049&amp;$C2049,'Smelter Look-up'!$J:$J,0))</f>
        <v>#N/A</v>
      </c>
      <c r="W2049" s="276"/>
      <c r="X2049" s="276">
        <f t="shared" ca="1" si="292"/>
        <v>0</v>
      </c>
      <c r="Y2049" s="276"/>
      <c r="Z2049" s="276"/>
      <c r="AB2049" s="278" t="str">
        <f t="shared" si="293"/>
        <v/>
      </c>
    </row>
    <row r="2050" spans="1:28" s="277" customFormat="1" ht="20.25">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291"/>
        <v/>
      </c>
      <c r="T2050" s="225" t="str">
        <f ca="1">IF(B2050="","",IF(ISERROR(MATCH($J2050,SorP!$B$1:$B$6230,0)),"",INDIRECT("'SorP'!$A$"&amp;MATCH($J2050,SorP!$B$1:$B$6230,0))))</f>
        <v/>
      </c>
      <c r="U2050" s="241"/>
      <c r="V2050" s="275" t="e">
        <f>IF(C2050="",NA(),MATCH($B2050&amp;$C2050,'Smelter Look-up'!$J:$J,0))</f>
        <v>#N/A</v>
      </c>
      <c r="W2050" s="276"/>
      <c r="X2050" s="276">
        <f t="shared" ca="1" si="292"/>
        <v>0</v>
      </c>
      <c r="Y2050" s="276"/>
      <c r="Z2050" s="276"/>
      <c r="AB2050" s="278" t="str">
        <f t="shared" si="293"/>
        <v/>
      </c>
    </row>
    <row r="2051" spans="1:28" s="277" customFormat="1" ht="20.25">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291"/>
        <v/>
      </c>
      <c r="T2051" s="225" t="str">
        <f ca="1">IF(B2051="","",IF(ISERROR(MATCH($J2051,SorP!$B$1:$B$6230,0)),"",INDIRECT("'SorP'!$A$"&amp;MATCH($J2051,SorP!$B$1:$B$6230,0))))</f>
        <v/>
      </c>
      <c r="U2051" s="241"/>
      <c r="V2051" s="275" t="e">
        <f>IF(C2051="",NA(),MATCH($B2051&amp;$C2051,'Smelter Look-up'!$J:$J,0))</f>
        <v>#N/A</v>
      </c>
      <c r="W2051" s="276"/>
      <c r="X2051" s="276">
        <f t="shared" ca="1" si="292"/>
        <v>0</v>
      </c>
      <c r="Y2051" s="276"/>
      <c r="Z2051" s="276"/>
      <c r="AB2051" s="278" t="str">
        <f t="shared" si="293"/>
        <v/>
      </c>
    </row>
    <row r="2052" spans="1:28" s="277" customFormat="1" ht="20.25">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291"/>
        <v/>
      </c>
      <c r="T2052" s="225" t="str">
        <f ca="1">IF(B2052="","",IF(ISERROR(MATCH($J2052,SorP!$B$1:$B$6230,0)),"",INDIRECT("'SorP'!$A$"&amp;MATCH($J2052,SorP!$B$1:$B$6230,0))))</f>
        <v/>
      </c>
      <c r="U2052" s="241"/>
      <c r="V2052" s="275" t="e">
        <f>IF(C2052="",NA(),MATCH($B2052&amp;$C2052,'Smelter Look-up'!$J:$J,0))</f>
        <v>#N/A</v>
      </c>
      <c r="W2052" s="276"/>
      <c r="X2052" s="276">
        <f t="shared" ca="1" si="292"/>
        <v>0</v>
      </c>
      <c r="Y2052" s="276"/>
      <c r="Z2052" s="276"/>
      <c r="AB2052" s="278" t="str">
        <f t="shared" si="293"/>
        <v/>
      </c>
    </row>
    <row r="2053" spans="1:28" s="277" customFormat="1" ht="20.25">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291"/>
        <v/>
      </c>
      <c r="T2053" s="225" t="str">
        <f ca="1">IF(B2053="","",IF(ISERROR(MATCH($J2053,SorP!$B$1:$B$6230,0)),"",INDIRECT("'SorP'!$A$"&amp;MATCH($J2053,SorP!$B$1:$B$6230,0))))</f>
        <v/>
      </c>
      <c r="U2053" s="241"/>
      <c r="V2053" s="275" t="e">
        <f>IF(C2053="",NA(),MATCH($B2053&amp;$C2053,'Smelter Look-up'!$J:$J,0))</f>
        <v>#N/A</v>
      </c>
      <c r="W2053" s="276"/>
      <c r="X2053" s="276">
        <f t="shared" ca="1" si="292"/>
        <v>0</v>
      </c>
      <c r="Y2053" s="276"/>
      <c r="Z2053" s="276"/>
      <c r="AB2053" s="278" t="str">
        <f t="shared" si="293"/>
        <v/>
      </c>
    </row>
    <row r="2054" spans="1:28" s="277" customFormat="1" ht="20.25">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291"/>
        <v/>
      </c>
      <c r="T2054" s="225" t="str">
        <f ca="1">IF(B2054="","",IF(ISERROR(MATCH($J2054,SorP!$B$1:$B$6230,0)),"",INDIRECT("'SorP'!$A$"&amp;MATCH($J2054,SorP!$B$1:$B$6230,0))))</f>
        <v/>
      </c>
      <c r="U2054" s="241"/>
      <c r="V2054" s="275" t="e">
        <f>IF(C2054="",NA(),MATCH($B2054&amp;$C2054,'Smelter Look-up'!$J:$J,0))</f>
        <v>#N/A</v>
      </c>
      <c r="W2054" s="276"/>
      <c r="X2054" s="276">
        <f t="shared" ca="1" si="292"/>
        <v>0</v>
      </c>
      <c r="Y2054" s="276"/>
      <c r="Z2054" s="276"/>
      <c r="AB2054" s="278" t="str">
        <f t="shared" si="293"/>
        <v/>
      </c>
    </row>
    <row r="2055" spans="1:28" s="277" customFormat="1" ht="20.25">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291"/>
        <v/>
      </c>
      <c r="T2055" s="225" t="str">
        <f ca="1">IF(B2055="","",IF(ISERROR(MATCH($J2055,SorP!$B$1:$B$6230,0)),"",INDIRECT("'SorP'!$A$"&amp;MATCH($J2055,SorP!$B$1:$B$6230,0))))</f>
        <v/>
      </c>
      <c r="U2055" s="241"/>
      <c r="V2055" s="275" t="e">
        <f>IF(C2055="",NA(),MATCH($B2055&amp;$C2055,'Smelter Look-up'!$J:$J,0))</f>
        <v>#N/A</v>
      </c>
      <c r="W2055" s="276"/>
      <c r="X2055" s="276">
        <f t="shared" ca="1" si="292"/>
        <v>0</v>
      </c>
      <c r="Y2055" s="276"/>
      <c r="Z2055" s="276"/>
      <c r="AB2055" s="278" t="str">
        <f t="shared" si="293"/>
        <v/>
      </c>
    </row>
    <row r="2056" spans="1:28" s="277" customFormat="1" ht="20.25">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291"/>
        <v/>
      </c>
      <c r="T2056" s="225" t="str">
        <f ca="1">IF(B2056="","",IF(ISERROR(MATCH($J2056,SorP!$B$1:$B$6230,0)),"",INDIRECT("'SorP'!$A$"&amp;MATCH($J2056,SorP!$B$1:$B$6230,0))))</f>
        <v/>
      </c>
      <c r="U2056" s="241"/>
      <c r="V2056" s="275" t="e">
        <f>IF(C2056="",NA(),MATCH($B2056&amp;$C2056,'Smelter Look-up'!$J:$J,0))</f>
        <v>#N/A</v>
      </c>
      <c r="W2056" s="276"/>
      <c r="X2056" s="276">
        <f t="shared" ca="1" si="292"/>
        <v>0</v>
      </c>
      <c r="Y2056" s="276"/>
      <c r="Z2056" s="276"/>
      <c r="AB2056" s="278" t="str">
        <f t="shared" si="293"/>
        <v/>
      </c>
    </row>
    <row r="2057" spans="1:28" s="277" customFormat="1" ht="20.25">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291"/>
        <v/>
      </c>
      <c r="T2057" s="225" t="str">
        <f ca="1">IF(B2057="","",IF(ISERROR(MATCH($J2057,SorP!$B$1:$B$6230,0)),"",INDIRECT("'SorP'!$A$"&amp;MATCH($J2057,SorP!$B$1:$B$6230,0))))</f>
        <v/>
      </c>
      <c r="U2057" s="241"/>
      <c r="V2057" s="275" t="e">
        <f>IF(C2057="",NA(),MATCH($B2057&amp;$C2057,'Smelter Look-up'!$J:$J,0))</f>
        <v>#N/A</v>
      </c>
      <c r="W2057" s="276"/>
      <c r="X2057" s="276">
        <f t="shared" ca="1" si="292"/>
        <v>0</v>
      </c>
      <c r="Y2057" s="276"/>
      <c r="Z2057" s="276"/>
      <c r="AB2057" s="278" t="str">
        <f t="shared" si="293"/>
        <v/>
      </c>
    </row>
    <row r="2058" spans="1:28" s="277" customFormat="1" ht="20.25">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291"/>
        <v/>
      </c>
      <c r="T2058" s="225" t="str">
        <f ca="1">IF(B2058="","",IF(ISERROR(MATCH($J2058,SorP!$B$1:$B$6230,0)),"",INDIRECT("'SorP'!$A$"&amp;MATCH($J2058,SorP!$B$1:$B$6230,0))))</f>
        <v/>
      </c>
      <c r="U2058" s="241"/>
      <c r="V2058" s="275" t="e">
        <f>IF(C2058="",NA(),MATCH($B2058&amp;$C2058,'Smelter Look-up'!$J:$J,0))</f>
        <v>#N/A</v>
      </c>
      <c r="W2058" s="276"/>
      <c r="X2058" s="276">
        <f t="shared" ca="1" si="292"/>
        <v>0</v>
      </c>
      <c r="Y2058" s="276"/>
      <c r="Z2058" s="276"/>
      <c r="AB2058" s="278" t="str">
        <f t="shared" si="293"/>
        <v/>
      </c>
    </row>
    <row r="2059" spans="1:28" s="277" customFormat="1" ht="20.25">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291"/>
        <v/>
      </c>
      <c r="T2059" s="225" t="str">
        <f ca="1">IF(B2059="","",IF(ISERROR(MATCH($J2059,SorP!$B$1:$B$6230,0)),"",INDIRECT("'SorP'!$A$"&amp;MATCH($J2059,SorP!$B$1:$B$6230,0))))</f>
        <v/>
      </c>
      <c r="U2059" s="241"/>
      <c r="V2059" s="275" t="e">
        <f>IF(C2059="",NA(),MATCH($B2059&amp;$C2059,'Smelter Look-up'!$J:$J,0))</f>
        <v>#N/A</v>
      </c>
      <c r="W2059" s="276"/>
      <c r="X2059" s="276">
        <f t="shared" ca="1" si="292"/>
        <v>0</v>
      </c>
      <c r="Y2059" s="276"/>
      <c r="Z2059" s="276"/>
      <c r="AB2059" s="278" t="str">
        <f t="shared" si="293"/>
        <v/>
      </c>
    </row>
    <row r="2060" spans="1:28" s="277" customFormat="1" ht="20.25">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291"/>
        <v/>
      </c>
      <c r="T2060" s="225" t="str">
        <f ca="1">IF(B2060="","",IF(ISERROR(MATCH($J2060,SorP!$B$1:$B$6230,0)),"",INDIRECT("'SorP'!$A$"&amp;MATCH($J2060,SorP!$B$1:$B$6230,0))))</f>
        <v/>
      </c>
      <c r="U2060" s="241"/>
      <c r="V2060" s="275" t="e">
        <f>IF(C2060="",NA(),MATCH($B2060&amp;$C2060,'Smelter Look-up'!$J:$J,0))</f>
        <v>#N/A</v>
      </c>
      <c r="W2060" s="276"/>
      <c r="X2060" s="276">
        <f t="shared" ca="1" si="292"/>
        <v>0</v>
      </c>
      <c r="Y2060" s="276"/>
      <c r="Z2060" s="276"/>
      <c r="AB2060" s="278" t="str">
        <f t="shared" si="293"/>
        <v/>
      </c>
    </row>
    <row r="2061" spans="1:28" s="277" customFormat="1" ht="20.25">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291"/>
        <v/>
      </c>
      <c r="T2061" s="225" t="str">
        <f ca="1">IF(B2061="","",IF(ISERROR(MATCH($J2061,SorP!$B$1:$B$6230,0)),"",INDIRECT("'SorP'!$A$"&amp;MATCH($J2061,SorP!$B$1:$B$6230,0))))</f>
        <v/>
      </c>
      <c r="U2061" s="241"/>
      <c r="V2061" s="275" t="e">
        <f>IF(C2061="",NA(),MATCH($B2061&amp;$C2061,'Smelter Look-up'!$J:$J,0))</f>
        <v>#N/A</v>
      </c>
      <c r="W2061" s="276"/>
      <c r="X2061" s="276">
        <f t="shared" ca="1" si="292"/>
        <v>0</v>
      </c>
      <c r="Y2061" s="276"/>
      <c r="Z2061" s="276"/>
      <c r="AB2061" s="278" t="str">
        <f t="shared" si="293"/>
        <v/>
      </c>
    </row>
    <row r="2062" spans="1:28" s="277" customFormat="1" ht="20.25">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291"/>
        <v/>
      </c>
      <c r="T2062" s="225" t="str">
        <f ca="1">IF(B2062="","",IF(ISERROR(MATCH($J2062,SorP!$B$1:$B$6230,0)),"",INDIRECT("'SorP'!$A$"&amp;MATCH($J2062,SorP!$B$1:$B$6230,0))))</f>
        <v/>
      </c>
      <c r="U2062" s="241"/>
      <c r="V2062" s="275" t="e">
        <f>IF(C2062="",NA(),MATCH($B2062&amp;$C2062,'Smelter Look-up'!$J:$J,0))</f>
        <v>#N/A</v>
      </c>
      <c r="W2062" s="276"/>
      <c r="X2062" s="276">
        <f t="shared" ca="1" si="292"/>
        <v>0</v>
      </c>
      <c r="Y2062" s="276"/>
      <c r="Z2062" s="276"/>
      <c r="AB2062" s="278" t="str">
        <f t="shared" si="293"/>
        <v/>
      </c>
    </row>
    <row r="2063" spans="1:28" s="277" customFormat="1" ht="20.25">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291"/>
        <v/>
      </c>
      <c r="T2063" s="225" t="str">
        <f ca="1">IF(B2063="","",IF(ISERROR(MATCH($J2063,SorP!$B$1:$B$6230,0)),"",INDIRECT("'SorP'!$A$"&amp;MATCH($J2063,SorP!$B$1:$B$6230,0))))</f>
        <v/>
      </c>
      <c r="U2063" s="241"/>
      <c r="V2063" s="275" t="e">
        <f>IF(C2063="",NA(),MATCH($B2063&amp;$C2063,'Smelter Look-up'!$J:$J,0))</f>
        <v>#N/A</v>
      </c>
      <c r="W2063" s="276"/>
      <c r="X2063" s="276">
        <f t="shared" ca="1" si="292"/>
        <v>0</v>
      </c>
      <c r="Y2063" s="276"/>
      <c r="Z2063" s="276"/>
      <c r="AB2063" s="278" t="str">
        <f t="shared" si="293"/>
        <v/>
      </c>
    </row>
    <row r="2064" spans="1:28" s="277" customFormat="1" ht="20.25">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291"/>
        <v/>
      </c>
      <c r="T2064" s="225" t="str">
        <f ca="1">IF(B2064="","",IF(ISERROR(MATCH($J2064,SorP!$B$1:$B$6230,0)),"",INDIRECT("'SorP'!$A$"&amp;MATCH($J2064,SorP!$B$1:$B$6230,0))))</f>
        <v/>
      </c>
      <c r="U2064" s="241"/>
      <c r="V2064" s="275" t="e">
        <f>IF(C2064="",NA(),MATCH($B2064&amp;$C2064,'Smelter Look-up'!$J:$J,0))</f>
        <v>#N/A</v>
      </c>
      <c r="W2064" s="276"/>
      <c r="X2064" s="276">
        <f t="shared" ca="1" si="292"/>
        <v>0</v>
      </c>
      <c r="Y2064" s="276"/>
      <c r="Z2064" s="276"/>
      <c r="AB2064" s="278" t="str">
        <f t="shared" si="293"/>
        <v/>
      </c>
    </row>
    <row r="2065" spans="1:28" s="277" customFormat="1" ht="20.25">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291"/>
        <v/>
      </c>
      <c r="T2065" s="225" t="str">
        <f ca="1">IF(B2065="","",IF(ISERROR(MATCH($J2065,SorP!$B$1:$B$6230,0)),"",INDIRECT("'SorP'!$A$"&amp;MATCH($J2065,SorP!$B$1:$B$6230,0))))</f>
        <v/>
      </c>
      <c r="U2065" s="241"/>
      <c r="V2065" s="275" t="e">
        <f>IF(C2065="",NA(),MATCH($B2065&amp;$C2065,'Smelter Look-up'!$J:$J,0))</f>
        <v>#N/A</v>
      </c>
      <c r="W2065" s="276"/>
      <c r="X2065" s="276">
        <f t="shared" ca="1" si="292"/>
        <v>0</v>
      </c>
      <c r="Y2065" s="276"/>
      <c r="Z2065" s="276"/>
      <c r="AB2065" s="278" t="str">
        <f t="shared" si="293"/>
        <v/>
      </c>
    </row>
    <row r="2066" spans="1:28" s="277" customFormat="1" ht="20.25">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291"/>
        <v/>
      </c>
      <c r="T2066" s="225" t="str">
        <f ca="1">IF(B2066="","",IF(ISERROR(MATCH($J2066,SorP!$B$1:$B$6230,0)),"",INDIRECT("'SorP'!$A$"&amp;MATCH($J2066,SorP!$B$1:$B$6230,0))))</f>
        <v/>
      </c>
      <c r="U2066" s="241"/>
      <c r="V2066" s="275" t="e">
        <f>IF(C2066="",NA(),MATCH($B2066&amp;$C2066,'Smelter Look-up'!$J:$J,0))</f>
        <v>#N/A</v>
      </c>
      <c r="W2066" s="276"/>
      <c r="X2066" s="276">
        <f t="shared" ca="1" si="292"/>
        <v>0</v>
      </c>
      <c r="Y2066" s="276"/>
      <c r="Z2066" s="276"/>
      <c r="AB2066" s="278" t="str">
        <f t="shared" si="293"/>
        <v/>
      </c>
    </row>
    <row r="2067" spans="1:28" s="277" customFormat="1" ht="20.25">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291"/>
        <v/>
      </c>
      <c r="T2067" s="225" t="str">
        <f ca="1">IF(B2067="","",IF(ISERROR(MATCH($J2067,SorP!$B$1:$B$6230,0)),"",INDIRECT("'SorP'!$A$"&amp;MATCH($J2067,SorP!$B$1:$B$6230,0))))</f>
        <v/>
      </c>
      <c r="U2067" s="241"/>
      <c r="V2067" s="275" t="e">
        <f>IF(C2067="",NA(),MATCH($B2067&amp;$C2067,'Smelter Look-up'!$J:$J,0))</f>
        <v>#N/A</v>
      </c>
      <c r="W2067" s="276"/>
      <c r="X2067" s="276">
        <f t="shared" ca="1" si="292"/>
        <v>0</v>
      </c>
      <c r="Y2067" s="276"/>
      <c r="Z2067" s="276"/>
      <c r="AB2067" s="278" t="str">
        <f t="shared" si="293"/>
        <v/>
      </c>
    </row>
    <row r="2068" spans="1:28" s="277" customFormat="1" ht="20.25">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291"/>
        <v/>
      </c>
      <c r="T2068" s="225" t="str">
        <f ca="1">IF(B2068="","",IF(ISERROR(MATCH($J2068,SorP!$B$1:$B$6230,0)),"",INDIRECT("'SorP'!$A$"&amp;MATCH($J2068,SorP!$B$1:$B$6230,0))))</f>
        <v/>
      </c>
      <c r="U2068" s="241"/>
      <c r="V2068" s="275" t="e">
        <f>IF(C2068="",NA(),MATCH($B2068&amp;$C2068,'Smelter Look-up'!$J:$J,0))</f>
        <v>#N/A</v>
      </c>
      <c r="W2068" s="276"/>
      <c r="X2068" s="276">
        <f t="shared" ca="1" si="292"/>
        <v>0</v>
      </c>
      <c r="Y2068" s="276"/>
      <c r="Z2068" s="276"/>
      <c r="AB2068" s="278" t="str">
        <f t="shared" si="293"/>
        <v/>
      </c>
    </row>
    <row r="2069" spans="1:28" s="277" customFormat="1" ht="20.25">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291"/>
        <v/>
      </c>
      <c r="T2069" s="225" t="str">
        <f ca="1">IF(B2069="","",IF(ISERROR(MATCH($J2069,SorP!$B$1:$B$6230,0)),"",INDIRECT("'SorP'!$A$"&amp;MATCH($J2069,SorP!$B$1:$B$6230,0))))</f>
        <v/>
      </c>
      <c r="U2069" s="241"/>
      <c r="V2069" s="275" t="e">
        <f>IF(C2069="",NA(),MATCH($B2069&amp;$C2069,'Smelter Look-up'!$J:$J,0))</f>
        <v>#N/A</v>
      </c>
      <c r="W2069" s="276"/>
      <c r="X2069" s="276">
        <f t="shared" ca="1" si="292"/>
        <v>0</v>
      </c>
      <c r="Y2069" s="276"/>
      <c r="Z2069" s="276"/>
      <c r="AB2069" s="278" t="str">
        <f t="shared" si="293"/>
        <v/>
      </c>
    </row>
    <row r="2070" spans="1:28" s="277" customFormat="1" ht="20.25">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291"/>
        <v/>
      </c>
      <c r="T2070" s="225" t="str">
        <f ca="1">IF(B2070="","",IF(ISERROR(MATCH($J2070,SorP!$B$1:$B$6230,0)),"",INDIRECT("'SorP'!$A$"&amp;MATCH($J2070,SorP!$B$1:$B$6230,0))))</f>
        <v/>
      </c>
      <c r="U2070" s="241"/>
      <c r="V2070" s="275" t="e">
        <f>IF(C2070="",NA(),MATCH($B2070&amp;$C2070,'Smelter Look-up'!$J:$J,0))</f>
        <v>#N/A</v>
      </c>
      <c r="W2070" s="276"/>
      <c r="X2070" s="276">
        <f t="shared" ca="1" si="292"/>
        <v>0</v>
      </c>
      <c r="Y2070" s="276"/>
      <c r="Z2070" s="276"/>
      <c r="AB2070" s="278" t="str">
        <f t="shared" si="293"/>
        <v/>
      </c>
    </row>
    <row r="2071" spans="1:28" s="277" customFormat="1" ht="20.25">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291"/>
        <v/>
      </c>
      <c r="T2071" s="225" t="str">
        <f ca="1">IF(B2071="","",IF(ISERROR(MATCH($J2071,SorP!$B$1:$B$6230,0)),"",INDIRECT("'SorP'!$A$"&amp;MATCH($J2071,SorP!$B$1:$B$6230,0))))</f>
        <v/>
      </c>
      <c r="U2071" s="241"/>
      <c r="V2071" s="275" t="e">
        <f>IF(C2071="",NA(),MATCH($B2071&amp;$C2071,'Smelter Look-up'!$J:$J,0))</f>
        <v>#N/A</v>
      </c>
      <c r="W2071" s="276"/>
      <c r="X2071" s="276">
        <f t="shared" ca="1" si="292"/>
        <v>0</v>
      </c>
      <c r="Y2071" s="276"/>
      <c r="Z2071" s="276"/>
      <c r="AB2071" s="278" t="str">
        <f t="shared" si="293"/>
        <v/>
      </c>
    </row>
    <row r="2072" spans="1:28" s="277" customFormat="1" ht="20.25">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291"/>
        <v/>
      </c>
      <c r="T2072" s="225" t="str">
        <f ca="1">IF(B2072="","",IF(ISERROR(MATCH($J2072,SorP!$B$1:$B$6230,0)),"",INDIRECT("'SorP'!$A$"&amp;MATCH($J2072,SorP!$B$1:$B$6230,0))))</f>
        <v/>
      </c>
      <c r="U2072" s="241"/>
      <c r="V2072" s="275" t="e">
        <f>IF(C2072="",NA(),MATCH($B2072&amp;$C2072,'Smelter Look-up'!$J:$J,0))</f>
        <v>#N/A</v>
      </c>
      <c r="W2072" s="276"/>
      <c r="X2072" s="276">
        <f t="shared" ca="1" si="292"/>
        <v>0</v>
      </c>
      <c r="Y2072" s="276"/>
      <c r="Z2072" s="276"/>
      <c r="AB2072" s="278" t="str">
        <f t="shared" si="293"/>
        <v/>
      </c>
    </row>
    <row r="2073" spans="1:28" s="277" customFormat="1" ht="20.25">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291"/>
        <v/>
      </c>
      <c r="T2073" s="225" t="str">
        <f ca="1">IF(B2073="","",IF(ISERROR(MATCH($J2073,SorP!$B$1:$B$6230,0)),"",INDIRECT("'SorP'!$A$"&amp;MATCH($J2073,SorP!$B$1:$B$6230,0))))</f>
        <v/>
      </c>
      <c r="U2073" s="241"/>
      <c r="V2073" s="275" t="e">
        <f>IF(C2073="",NA(),MATCH($B2073&amp;$C2073,'Smelter Look-up'!$J:$J,0))</f>
        <v>#N/A</v>
      </c>
      <c r="W2073" s="276"/>
      <c r="X2073" s="276">
        <f t="shared" ca="1" si="292"/>
        <v>0</v>
      </c>
      <c r="Y2073" s="276"/>
      <c r="Z2073" s="276"/>
      <c r="AB2073" s="278" t="str">
        <f t="shared" si="293"/>
        <v/>
      </c>
    </row>
    <row r="2074" spans="1:28" s="277" customFormat="1" ht="20.25">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291"/>
        <v/>
      </c>
      <c r="T2074" s="225" t="str">
        <f ca="1">IF(B2074="","",IF(ISERROR(MATCH($J2074,SorP!$B$1:$B$6230,0)),"",INDIRECT("'SorP'!$A$"&amp;MATCH($J2074,SorP!$B$1:$B$6230,0))))</f>
        <v/>
      </c>
      <c r="U2074" s="241"/>
      <c r="V2074" s="275" t="e">
        <f>IF(C2074="",NA(),MATCH($B2074&amp;$C2074,'Smelter Look-up'!$J:$J,0))</f>
        <v>#N/A</v>
      </c>
      <c r="W2074" s="276"/>
      <c r="X2074" s="276">
        <f t="shared" ca="1" si="292"/>
        <v>0</v>
      </c>
      <c r="Y2074" s="276"/>
      <c r="Z2074" s="276"/>
      <c r="AB2074" s="278" t="str">
        <f t="shared" si="293"/>
        <v/>
      </c>
    </row>
    <row r="2075" spans="1:28" s="277" customFormat="1" ht="20.25">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291"/>
        <v/>
      </c>
      <c r="T2075" s="225" t="str">
        <f ca="1">IF(B2075="","",IF(ISERROR(MATCH($J2075,SorP!$B$1:$B$6230,0)),"",INDIRECT("'SorP'!$A$"&amp;MATCH($J2075,SorP!$B$1:$B$6230,0))))</f>
        <v/>
      </c>
      <c r="U2075" s="241"/>
      <c r="V2075" s="275" t="e">
        <f>IF(C2075="",NA(),MATCH($B2075&amp;$C2075,'Smelter Look-up'!$J:$J,0))</f>
        <v>#N/A</v>
      </c>
      <c r="W2075" s="276"/>
      <c r="X2075" s="276">
        <f t="shared" ca="1" si="292"/>
        <v>0</v>
      </c>
      <c r="Y2075" s="276"/>
      <c r="Z2075" s="276"/>
      <c r="AB2075" s="278" t="str">
        <f t="shared" si="293"/>
        <v/>
      </c>
    </row>
    <row r="2076" spans="1:28" s="277" customFormat="1" ht="20.25">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ref="S2076:S2106" ca="1" si="294">IF(B2076="","",IF(ISERROR(MATCH($E2076,CL,0)),"Unknown",INDIRECT("'C'!$A$"&amp;MATCH($E2076,CL,0)+1)))</f>
        <v/>
      </c>
      <c r="T2076" s="225" t="str">
        <f ca="1">IF(B2076="","",IF(ISERROR(MATCH($J2076,SorP!$B$1:$B$6230,0)),"",INDIRECT("'SorP'!$A$"&amp;MATCH($J2076,SorP!$B$1:$B$6230,0))))</f>
        <v/>
      </c>
      <c r="U2076" s="241"/>
      <c r="V2076" s="275" t="e">
        <f>IF(C2076="",NA(),MATCH($B2076&amp;$C2076,'Smelter Look-up'!$J:$J,0))</f>
        <v>#N/A</v>
      </c>
      <c r="W2076" s="276"/>
      <c r="X2076" s="276">
        <f t="shared" ref="X2076:X2106" ca="1" si="295">IF(AND(C2076="Smelter not listed",OR(LEN(D2076)=0,LEN(E2076)=0)),1,0)</f>
        <v>0</v>
      </c>
      <c r="Y2076" s="276"/>
      <c r="Z2076" s="276"/>
      <c r="AB2076" s="278" t="str">
        <f t="shared" ref="AB2076:AB2106" si="296">B2076&amp;C2076</f>
        <v/>
      </c>
    </row>
    <row r="2077" spans="1:28" s="277" customFormat="1" ht="20.25">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294"/>
        <v/>
      </c>
      <c r="T2077" s="225" t="str">
        <f ca="1">IF(B2077="","",IF(ISERROR(MATCH($J2077,SorP!$B$1:$B$6230,0)),"",INDIRECT("'SorP'!$A$"&amp;MATCH($J2077,SorP!$B$1:$B$6230,0))))</f>
        <v/>
      </c>
      <c r="U2077" s="241"/>
      <c r="V2077" s="275" t="e">
        <f>IF(C2077="",NA(),MATCH($B2077&amp;$C2077,'Smelter Look-up'!$J:$J,0))</f>
        <v>#N/A</v>
      </c>
      <c r="W2077" s="276"/>
      <c r="X2077" s="276">
        <f t="shared" ca="1" si="295"/>
        <v>0</v>
      </c>
      <c r="Y2077" s="276"/>
      <c r="Z2077" s="276"/>
      <c r="AB2077" s="278" t="str">
        <f t="shared" si="296"/>
        <v/>
      </c>
    </row>
    <row r="2078" spans="1:28" s="277" customFormat="1" ht="20.25">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294"/>
        <v/>
      </c>
      <c r="T2078" s="225" t="str">
        <f ca="1">IF(B2078="","",IF(ISERROR(MATCH($J2078,SorP!$B$1:$B$6230,0)),"",INDIRECT("'SorP'!$A$"&amp;MATCH($J2078,SorP!$B$1:$B$6230,0))))</f>
        <v/>
      </c>
      <c r="U2078" s="241"/>
      <c r="V2078" s="275" t="e">
        <f>IF(C2078="",NA(),MATCH($B2078&amp;$C2078,'Smelter Look-up'!$J:$J,0))</f>
        <v>#N/A</v>
      </c>
      <c r="W2078" s="276"/>
      <c r="X2078" s="276">
        <f t="shared" ca="1" si="295"/>
        <v>0</v>
      </c>
      <c r="Y2078" s="276"/>
      <c r="Z2078" s="276"/>
      <c r="AB2078" s="278" t="str">
        <f t="shared" si="296"/>
        <v/>
      </c>
    </row>
    <row r="2079" spans="1:28" s="277" customFormat="1" ht="20.25">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294"/>
        <v/>
      </c>
      <c r="T2079" s="225" t="str">
        <f ca="1">IF(B2079="","",IF(ISERROR(MATCH($J2079,SorP!$B$1:$B$6230,0)),"",INDIRECT("'SorP'!$A$"&amp;MATCH($J2079,SorP!$B$1:$B$6230,0))))</f>
        <v/>
      </c>
      <c r="U2079" s="241"/>
      <c r="V2079" s="275" t="e">
        <f>IF(C2079="",NA(),MATCH($B2079&amp;$C2079,'Smelter Look-up'!$J:$J,0))</f>
        <v>#N/A</v>
      </c>
      <c r="W2079" s="276"/>
      <c r="X2079" s="276">
        <f t="shared" ca="1" si="295"/>
        <v>0</v>
      </c>
      <c r="Y2079" s="276"/>
      <c r="Z2079" s="276"/>
      <c r="AB2079" s="278" t="str">
        <f t="shared" si="296"/>
        <v/>
      </c>
    </row>
    <row r="2080" spans="1:28" s="277" customFormat="1" ht="20.25">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294"/>
        <v/>
      </c>
      <c r="T2080" s="225" t="str">
        <f ca="1">IF(B2080="","",IF(ISERROR(MATCH($J2080,SorP!$B$1:$B$6230,0)),"",INDIRECT("'SorP'!$A$"&amp;MATCH($J2080,SorP!$B$1:$B$6230,0))))</f>
        <v/>
      </c>
      <c r="U2080" s="241"/>
      <c r="V2080" s="275" t="e">
        <f>IF(C2080="",NA(),MATCH($B2080&amp;$C2080,'Smelter Look-up'!$J:$J,0))</f>
        <v>#N/A</v>
      </c>
      <c r="W2080" s="276"/>
      <c r="X2080" s="276">
        <f t="shared" ca="1" si="295"/>
        <v>0</v>
      </c>
      <c r="Y2080" s="276"/>
      <c r="Z2080" s="276"/>
      <c r="AB2080" s="278" t="str">
        <f t="shared" si="296"/>
        <v/>
      </c>
    </row>
    <row r="2081" spans="1:28" s="277" customFormat="1" ht="20.25">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294"/>
        <v/>
      </c>
      <c r="T2081" s="225" t="str">
        <f ca="1">IF(B2081="","",IF(ISERROR(MATCH($J2081,SorP!$B$1:$B$6230,0)),"",INDIRECT("'SorP'!$A$"&amp;MATCH($J2081,SorP!$B$1:$B$6230,0))))</f>
        <v/>
      </c>
      <c r="U2081" s="241"/>
      <c r="V2081" s="275" t="e">
        <f>IF(C2081="",NA(),MATCH($B2081&amp;$C2081,'Smelter Look-up'!$J:$J,0))</f>
        <v>#N/A</v>
      </c>
      <c r="W2081" s="276"/>
      <c r="X2081" s="276">
        <f t="shared" ca="1" si="295"/>
        <v>0</v>
      </c>
      <c r="Y2081" s="276"/>
      <c r="Z2081" s="276"/>
      <c r="AB2081" s="278" t="str">
        <f t="shared" si="296"/>
        <v/>
      </c>
    </row>
    <row r="2082" spans="1:28" s="277" customFormat="1" ht="20.25">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294"/>
        <v/>
      </c>
      <c r="T2082" s="225" t="str">
        <f ca="1">IF(B2082="","",IF(ISERROR(MATCH($J2082,SorP!$B$1:$B$6230,0)),"",INDIRECT("'SorP'!$A$"&amp;MATCH($J2082,SorP!$B$1:$B$6230,0))))</f>
        <v/>
      </c>
      <c r="U2082" s="241"/>
      <c r="V2082" s="275" t="e">
        <f>IF(C2082="",NA(),MATCH($B2082&amp;$C2082,'Smelter Look-up'!$J:$J,0))</f>
        <v>#N/A</v>
      </c>
      <c r="W2082" s="276"/>
      <c r="X2082" s="276">
        <f t="shared" ca="1" si="295"/>
        <v>0</v>
      </c>
      <c r="Y2082" s="276"/>
      <c r="Z2082" s="276"/>
      <c r="AB2082" s="278" t="str">
        <f t="shared" si="296"/>
        <v/>
      </c>
    </row>
    <row r="2083" spans="1:28" s="277" customFormat="1" ht="20.25">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294"/>
        <v/>
      </c>
      <c r="T2083" s="225" t="str">
        <f ca="1">IF(B2083="","",IF(ISERROR(MATCH($J2083,SorP!$B$1:$B$6230,0)),"",INDIRECT("'SorP'!$A$"&amp;MATCH($J2083,SorP!$B$1:$B$6230,0))))</f>
        <v/>
      </c>
      <c r="U2083" s="241"/>
      <c r="V2083" s="275" t="e">
        <f>IF(C2083="",NA(),MATCH($B2083&amp;$C2083,'Smelter Look-up'!$J:$J,0))</f>
        <v>#N/A</v>
      </c>
      <c r="W2083" s="276"/>
      <c r="X2083" s="276">
        <f t="shared" ca="1" si="295"/>
        <v>0</v>
      </c>
      <c r="Y2083" s="276"/>
      <c r="Z2083" s="276"/>
      <c r="AB2083" s="278" t="str">
        <f t="shared" si="296"/>
        <v/>
      </c>
    </row>
    <row r="2084" spans="1:28" s="277" customFormat="1" ht="20.25">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294"/>
        <v/>
      </c>
      <c r="T2084" s="225" t="str">
        <f ca="1">IF(B2084="","",IF(ISERROR(MATCH($J2084,SorP!$B$1:$B$6230,0)),"",INDIRECT("'SorP'!$A$"&amp;MATCH($J2084,SorP!$B$1:$B$6230,0))))</f>
        <v/>
      </c>
      <c r="U2084" s="241"/>
      <c r="V2084" s="275" t="e">
        <f>IF(C2084="",NA(),MATCH($B2084&amp;$C2084,'Smelter Look-up'!$J:$J,0))</f>
        <v>#N/A</v>
      </c>
      <c r="W2084" s="276"/>
      <c r="X2084" s="276">
        <f t="shared" ca="1" si="295"/>
        <v>0</v>
      </c>
      <c r="Y2084" s="276"/>
      <c r="Z2084" s="276"/>
      <c r="AB2084" s="278" t="str">
        <f t="shared" si="296"/>
        <v/>
      </c>
    </row>
    <row r="2085" spans="1:28" s="277" customFormat="1" ht="20.25">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294"/>
        <v/>
      </c>
      <c r="T2085" s="225" t="str">
        <f ca="1">IF(B2085="","",IF(ISERROR(MATCH($J2085,SorP!$B$1:$B$6230,0)),"",INDIRECT("'SorP'!$A$"&amp;MATCH($J2085,SorP!$B$1:$B$6230,0))))</f>
        <v/>
      </c>
      <c r="U2085" s="241"/>
      <c r="V2085" s="275" t="e">
        <f>IF(C2085="",NA(),MATCH($B2085&amp;$C2085,'Smelter Look-up'!$J:$J,0))</f>
        <v>#N/A</v>
      </c>
      <c r="W2085" s="276"/>
      <c r="X2085" s="276">
        <f t="shared" ca="1" si="295"/>
        <v>0</v>
      </c>
      <c r="Y2085" s="276"/>
      <c r="Z2085" s="276"/>
      <c r="AB2085" s="278" t="str">
        <f t="shared" si="296"/>
        <v/>
      </c>
    </row>
    <row r="2086" spans="1:28" s="277" customFormat="1" ht="20.25">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294"/>
        <v/>
      </c>
      <c r="T2086" s="225" t="str">
        <f ca="1">IF(B2086="","",IF(ISERROR(MATCH($J2086,SorP!$B$1:$B$6230,0)),"",INDIRECT("'SorP'!$A$"&amp;MATCH($J2086,SorP!$B$1:$B$6230,0))))</f>
        <v/>
      </c>
      <c r="U2086" s="241"/>
      <c r="V2086" s="275" t="e">
        <f>IF(C2086="",NA(),MATCH($B2086&amp;$C2086,'Smelter Look-up'!$J:$J,0))</f>
        <v>#N/A</v>
      </c>
      <c r="W2086" s="276"/>
      <c r="X2086" s="276">
        <f t="shared" ca="1" si="295"/>
        <v>0</v>
      </c>
      <c r="Y2086" s="276"/>
      <c r="Z2086" s="276"/>
      <c r="AB2086" s="278" t="str">
        <f t="shared" si="296"/>
        <v/>
      </c>
    </row>
    <row r="2087" spans="1:28" s="277" customFormat="1" ht="20.25">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294"/>
        <v/>
      </c>
      <c r="T2087" s="225" t="str">
        <f ca="1">IF(B2087="","",IF(ISERROR(MATCH($J2087,SorP!$B$1:$B$6230,0)),"",INDIRECT("'SorP'!$A$"&amp;MATCH($J2087,SorP!$B$1:$B$6230,0))))</f>
        <v/>
      </c>
      <c r="U2087" s="241"/>
      <c r="V2087" s="275" t="e">
        <f>IF(C2087="",NA(),MATCH($B2087&amp;$C2087,'Smelter Look-up'!$J:$J,0))</f>
        <v>#N/A</v>
      </c>
      <c r="W2087" s="276"/>
      <c r="X2087" s="276">
        <f t="shared" ca="1" si="295"/>
        <v>0</v>
      </c>
      <c r="Y2087" s="276"/>
      <c r="Z2087" s="276"/>
      <c r="AB2087" s="278" t="str">
        <f t="shared" si="296"/>
        <v/>
      </c>
    </row>
    <row r="2088" spans="1:28" s="277" customFormat="1" ht="20.25">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294"/>
        <v/>
      </c>
      <c r="T2088" s="225" t="str">
        <f ca="1">IF(B2088="","",IF(ISERROR(MATCH($J2088,SorP!$B$1:$B$6230,0)),"",INDIRECT("'SorP'!$A$"&amp;MATCH($J2088,SorP!$B$1:$B$6230,0))))</f>
        <v/>
      </c>
      <c r="U2088" s="241"/>
      <c r="V2088" s="275" t="e">
        <f>IF(C2088="",NA(),MATCH($B2088&amp;$C2088,'Smelter Look-up'!$J:$J,0))</f>
        <v>#N/A</v>
      </c>
      <c r="W2088" s="276"/>
      <c r="X2088" s="276">
        <f t="shared" ca="1" si="295"/>
        <v>0</v>
      </c>
      <c r="Y2088" s="276"/>
      <c r="Z2088" s="276"/>
      <c r="AB2088" s="278" t="str">
        <f t="shared" si="296"/>
        <v/>
      </c>
    </row>
    <row r="2089" spans="1:28" s="277" customFormat="1" ht="20.25">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294"/>
        <v/>
      </c>
      <c r="T2089" s="225" t="str">
        <f ca="1">IF(B2089="","",IF(ISERROR(MATCH($J2089,SorP!$B$1:$B$6230,0)),"",INDIRECT("'SorP'!$A$"&amp;MATCH($J2089,SorP!$B$1:$B$6230,0))))</f>
        <v/>
      </c>
      <c r="U2089" s="241"/>
      <c r="V2089" s="275" t="e">
        <f>IF(C2089="",NA(),MATCH($B2089&amp;$C2089,'Smelter Look-up'!$J:$J,0))</f>
        <v>#N/A</v>
      </c>
      <c r="W2089" s="276"/>
      <c r="X2089" s="276">
        <f t="shared" ca="1" si="295"/>
        <v>0</v>
      </c>
      <c r="Y2089" s="276"/>
      <c r="Z2089" s="276"/>
      <c r="AB2089" s="278" t="str">
        <f t="shared" si="296"/>
        <v/>
      </c>
    </row>
    <row r="2090" spans="1:28" s="277" customFormat="1" ht="20.25">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294"/>
        <v/>
      </c>
      <c r="T2090" s="225" t="str">
        <f ca="1">IF(B2090="","",IF(ISERROR(MATCH($J2090,SorP!$B$1:$B$6230,0)),"",INDIRECT("'SorP'!$A$"&amp;MATCH($J2090,SorP!$B$1:$B$6230,0))))</f>
        <v/>
      </c>
      <c r="U2090" s="241"/>
      <c r="V2090" s="275" t="e">
        <f>IF(C2090="",NA(),MATCH($B2090&amp;$C2090,'Smelter Look-up'!$J:$J,0))</f>
        <v>#N/A</v>
      </c>
      <c r="W2090" s="276"/>
      <c r="X2090" s="276">
        <f t="shared" ca="1" si="295"/>
        <v>0</v>
      </c>
      <c r="Y2090" s="276"/>
      <c r="Z2090" s="276"/>
      <c r="AB2090" s="278" t="str">
        <f t="shared" si="296"/>
        <v/>
      </c>
    </row>
    <row r="2091" spans="1:28" s="277" customFormat="1" ht="20.25">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294"/>
        <v/>
      </c>
      <c r="T2091" s="225" t="str">
        <f ca="1">IF(B2091="","",IF(ISERROR(MATCH($J2091,SorP!$B$1:$B$6230,0)),"",INDIRECT("'SorP'!$A$"&amp;MATCH($J2091,SorP!$B$1:$B$6230,0))))</f>
        <v/>
      </c>
      <c r="U2091" s="241"/>
      <c r="V2091" s="275" t="e">
        <f>IF(C2091="",NA(),MATCH($B2091&amp;$C2091,'Smelter Look-up'!$J:$J,0))</f>
        <v>#N/A</v>
      </c>
      <c r="W2091" s="276"/>
      <c r="X2091" s="276">
        <f t="shared" ca="1" si="295"/>
        <v>0</v>
      </c>
      <c r="Y2091" s="276"/>
      <c r="Z2091" s="276"/>
      <c r="AB2091" s="278" t="str">
        <f t="shared" si="296"/>
        <v/>
      </c>
    </row>
    <row r="2092" spans="1:28" s="277" customFormat="1" ht="20.25">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294"/>
        <v/>
      </c>
      <c r="T2092" s="225" t="str">
        <f ca="1">IF(B2092="","",IF(ISERROR(MATCH($J2092,SorP!$B$1:$B$6230,0)),"",INDIRECT("'SorP'!$A$"&amp;MATCH($J2092,SorP!$B$1:$B$6230,0))))</f>
        <v/>
      </c>
      <c r="U2092" s="241"/>
      <c r="V2092" s="275" t="e">
        <f>IF(C2092="",NA(),MATCH($B2092&amp;$C2092,'Smelter Look-up'!$J:$J,0))</f>
        <v>#N/A</v>
      </c>
      <c r="W2092" s="276"/>
      <c r="X2092" s="276">
        <f t="shared" ca="1" si="295"/>
        <v>0</v>
      </c>
      <c r="Y2092" s="276"/>
      <c r="Z2092" s="276"/>
      <c r="AB2092" s="278" t="str">
        <f t="shared" si="296"/>
        <v/>
      </c>
    </row>
    <row r="2093" spans="1:28" s="277" customFormat="1" ht="20.25">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294"/>
        <v/>
      </c>
      <c r="T2093" s="225" t="str">
        <f ca="1">IF(B2093="","",IF(ISERROR(MATCH($J2093,SorP!$B$1:$B$6230,0)),"",INDIRECT("'SorP'!$A$"&amp;MATCH($J2093,SorP!$B$1:$B$6230,0))))</f>
        <v/>
      </c>
      <c r="U2093" s="241"/>
      <c r="V2093" s="275" t="e">
        <f>IF(C2093="",NA(),MATCH($B2093&amp;$C2093,'Smelter Look-up'!$J:$J,0))</f>
        <v>#N/A</v>
      </c>
      <c r="W2093" s="276"/>
      <c r="X2093" s="276">
        <f t="shared" ca="1" si="295"/>
        <v>0</v>
      </c>
      <c r="Y2093" s="276"/>
      <c r="Z2093" s="276"/>
      <c r="AB2093" s="278" t="str">
        <f t="shared" si="296"/>
        <v/>
      </c>
    </row>
    <row r="2094" spans="1:28" s="277" customFormat="1" ht="20.25">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294"/>
        <v/>
      </c>
      <c r="T2094" s="225" t="str">
        <f ca="1">IF(B2094="","",IF(ISERROR(MATCH($J2094,SorP!$B$1:$B$6230,0)),"",INDIRECT("'SorP'!$A$"&amp;MATCH($J2094,SorP!$B$1:$B$6230,0))))</f>
        <v/>
      </c>
      <c r="U2094" s="241"/>
      <c r="V2094" s="275" t="e">
        <f>IF(C2094="",NA(),MATCH($B2094&amp;$C2094,'Smelter Look-up'!$J:$J,0))</f>
        <v>#N/A</v>
      </c>
      <c r="W2094" s="276"/>
      <c r="X2094" s="276">
        <f t="shared" ca="1" si="295"/>
        <v>0</v>
      </c>
      <c r="Y2094" s="276"/>
      <c r="Z2094" s="276"/>
      <c r="AB2094" s="278" t="str">
        <f t="shared" si="296"/>
        <v/>
      </c>
    </row>
    <row r="2095" spans="1:28" s="277" customFormat="1" ht="20.25">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294"/>
        <v/>
      </c>
      <c r="T2095" s="225" t="str">
        <f ca="1">IF(B2095="","",IF(ISERROR(MATCH($J2095,SorP!$B$1:$B$6230,0)),"",INDIRECT("'SorP'!$A$"&amp;MATCH($J2095,SorP!$B$1:$B$6230,0))))</f>
        <v/>
      </c>
      <c r="U2095" s="241"/>
      <c r="V2095" s="275" t="e">
        <f>IF(C2095="",NA(),MATCH($B2095&amp;$C2095,'Smelter Look-up'!$J:$J,0))</f>
        <v>#N/A</v>
      </c>
      <c r="W2095" s="276"/>
      <c r="X2095" s="276">
        <f t="shared" ca="1" si="295"/>
        <v>0</v>
      </c>
      <c r="Y2095" s="276"/>
      <c r="Z2095" s="276"/>
      <c r="AB2095" s="278" t="str">
        <f t="shared" si="296"/>
        <v/>
      </c>
    </row>
    <row r="2096" spans="1:28" s="277" customFormat="1" ht="20.25">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294"/>
        <v/>
      </c>
      <c r="T2096" s="225" t="str">
        <f ca="1">IF(B2096="","",IF(ISERROR(MATCH($J2096,SorP!$B$1:$B$6230,0)),"",INDIRECT("'SorP'!$A$"&amp;MATCH($J2096,SorP!$B$1:$B$6230,0))))</f>
        <v/>
      </c>
      <c r="U2096" s="241"/>
      <c r="V2096" s="275" t="e">
        <f>IF(C2096="",NA(),MATCH($B2096&amp;$C2096,'Smelter Look-up'!$J:$J,0))</f>
        <v>#N/A</v>
      </c>
      <c r="W2096" s="276"/>
      <c r="X2096" s="276">
        <f t="shared" ca="1" si="295"/>
        <v>0</v>
      </c>
      <c r="Y2096" s="276"/>
      <c r="Z2096" s="276"/>
      <c r="AB2096" s="278" t="str">
        <f t="shared" si="296"/>
        <v/>
      </c>
    </row>
    <row r="2097" spans="1:28" s="277" customFormat="1" ht="20.25">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294"/>
        <v/>
      </c>
      <c r="T2097" s="225" t="str">
        <f ca="1">IF(B2097="","",IF(ISERROR(MATCH($J2097,SorP!$B$1:$B$6230,0)),"",INDIRECT("'SorP'!$A$"&amp;MATCH($J2097,SorP!$B$1:$B$6230,0))))</f>
        <v/>
      </c>
      <c r="U2097" s="241"/>
      <c r="V2097" s="275" t="e">
        <f>IF(C2097="",NA(),MATCH($B2097&amp;$C2097,'Smelter Look-up'!$J:$J,0))</f>
        <v>#N/A</v>
      </c>
      <c r="W2097" s="276"/>
      <c r="X2097" s="276">
        <f t="shared" ca="1" si="295"/>
        <v>0</v>
      </c>
      <c r="Y2097" s="276"/>
      <c r="Z2097" s="276"/>
      <c r="AB2097" s="278" t="str">
        <f t="shared" si="296"/>
        <v/>
      </c>
    </row>
    <row r="2098" spans="1:28" s="277" customFormat="1" ht="20.25">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294"/>
        <v/>
      </c>
      <c r="T2098" s="225" t="str">
        <f ca="1">IF(B2098="","",IF(ISERROR(MATCH($J2098,SorP!$B$1:$B$6230,0)),"",INDIRECT("'SorP'!$A$"&amp;MATCH($J2098,SorP!$B$1:$B$6230,0))))</f>
        <v/>
      </c>
      <c r="U2098" s="241"/>
      <c r="V2098" s="275" t="e">
        <f>IF(C2098="",NA(),MATCH($B2098&amp;$C2098,'Smelter Look-up'!$J:$J,0))</f>
        <v>#N/A</v>
      </c>
      <c r="W2098" s="276"/>
      <c r="X2098" s="276">
        <f t="shared" ca="1" si="295"/>
        <v>0</v>
      </c>
      <c r="Y2098" s="276"/>
      <c r="Z2098" s="276"/>
      <c r="AB2098" s="278" t="str">
        <f t="shared" si="296"/>
        <v/>
      </c>
    </row>
    <row r="2099" spans="1:28" s="277" customFormat="1" ht="20.25">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294"/>
        <v/>
      </c>
      <c r="T2099" s="225" t="str">
        <f ca="1">IF(B2099="","",IF(ISERROR(MATCH($J2099,SorP!$B$1:$B$6230,0)),"",INDIRECT("'SorP'!$A$"&amp;MATCH($J2099,SorP!$B$1:$B$6230,0))))</f>
        <v/>
      </c>
      <c r="U2099" s="241"/>
      <c r="V2099" s="275" t="e">
        <f>IF(C2099="",NA(),MATCH($B2099&amp;$C2099,'Smelter Look-up'!$J:$J,0))</f>
        <v>#N/A</v>
      </c>
      <c r="W2099" s="276"/>
      <c r="X2099" s="276">
        <f t="shared" ca="1" si="295"/>
        <v>0</v>
      </c>
      <c r="Y2099" s="276"/>
      <c r="Z2099" s="276"/>
      <c r="AB2099" s="278" t="str">
        <f t="shared" si="296"/>
        <v/>
      </c>
    </row>
    <row r="2100" spans="1:28" s="277" customFormat="1" ht="20.25">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294"/>
        <v/>
      </c>
      <c r="T2100" s="225" t="str">
        <f ca="1">IF(B2100="","",IF(ISERROR(MATCH($J2100,SorP!$B$1:$B$6230,0)),"",INDIRECT("'SorP'!$A$"&amp;MATCH($J2100,SorP!$B$1:$B$6230,0))))</f>
        <v/>
      </c>
      <c r="U2100" s="241"/>
      <c r="V2100" s="275" t="e">
        <f>IF(C2100="",NA(),MATCH($B2100&amp;$C2100,'Smelter Look-up'!$J:$J,0))</f>
        <v>#N/A</v>
      </c>
      <c r="W2100" s="276"/>
      <c r="X2100" s="276">
        <f t="shared" ca="1" si="295"/>
        <v>0</v>
      </c>
      <c r="Y2100" s="276"/>
      <c r="Z2100" s="276"/>
      <c r="AB2100" s="278" t="str">
        <f t="shared" si="296"/>
        <v/>
      </c>
    </row>
    <row r="2101" spans="1:28" s="277" customFormat="1" ht="20.25">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294"/>
        <v/>
      </c>
      <c r="T2101" s="225" t="str">
        <f ca="1">IF(B2101="","",IF(ISERROR(MATCH($J2101,SorP!$B$1:$B$6230,0)),"",INDIRECT("'SorP'!$A$"&amp;MATCH($J2101,SorP!$B$1:$B$6230,0))))</f>
        <v/>
      </c>
      <c r="U2101" s="241"/>
      <c r="V2101" s="275" t="e">
        <f>IF(C2101="",NA(),MATCH($B2101&amp;$C2101,'Smelter Look-up'!$J:$J,0))</f>
        <v>#N/A</v>
      </c>
      <c r="W2101" s="276"/>
      <c r="X2101" s="276">
        <f t="shared" ca="1" si="295"/>
        <v>0</v>
      </c>
      <c r="Y2101" s="276"/>
      <c r="Z2101" s="276"/>
      <c r="AB2101" s="278" t="str">
        <f t="shared" si="296"/>
        <v/>
      </c>
    </row>
    <row r="2102" spans="1:28" s="277" customFormat="1" ht="20.25">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294"/>
        <v/>
      </c>
      <c r="T2102" s="225" t="str">
        <f ca="1">IF(B2102="","",IF(ISERROR(MATCH($J2102,SorP!$B$1:$B$6230,0)),"",INDIRECT("'SorP'!$A$"&amp;MATCH($J2102,SorP!$B$1:$B$6230,0))))</f>
        <v/>
      </c>
      <c r="U2102" s="241"/>
      <c r="V2102" s="275" t="e">
        <f>IF(C2102="",NA(),MATCH($B2102&amp;$C2102,'Smelter Look-up'!$J:$J,0))</f>
        <v>#N/A</v>
      </c>
      <c r="W2102" s="276"/>
      <c r="X2102" s="276">
        <f t="shared" ca="1" si="295"/>
        <v>0</v>
      </c>
      <c r="Y2102" s="276"/>
      <c r="Z2102" s="276"/>
      <c r="AB2102" s="278" t="str">
        <f t="shared" si="296"/>
        <v/>
      </c>
    </row>
    <row r="2103" spans="1:28" s="277" customFormat="1" ht="20.25">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294"/>
        <v/>
      </c>
      <c r="T2103" s="225" t="str">
        <f ca="1">IF(B2103="","",IF(ISERROR(MATCH($J2103,SorP!$B$1:$B$6230,0)),"",INDIRECT("'SorP'!$A$"&amp;MATCH($J2103,SorP!$B$1:$B$6230,0))))</f>
        <v/>
      </c>
      <c r="U2103" s="241"/>
      <c r="V2103" s="275" t="e">
        <f>IF(C2103="",NA(),MATCH($B2103&amp;$C2103,'Smelter Look-up'!$J:$J,0))</f>
        <v>#N/A</v>
      </c>
      <c r="W2103" s="276"/>
      <c r="X2103" s="276">
        <f t="shared" ca="1" si="295"/>
        <v>0</v>
      </c>
      <c r="Y2103" s="276"/>
      <c r="Z2103" s="276"/>
      <c r="AB2103" s="278" t="str">
        <f t="shared" si="296"/>
        <v/>
      </c>
    </row>
    <row r="2104" spans="1:28" s="277" customFormat="1" ht="20.25">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294"/>
        <v/>
      </c>
      <c r="T2104" s="225" t="str">
        <f ca="1">IF(B2104="","",IF(ISERROR(MATCH($J2104,SorP!$B$1:$B$6230,0)),"",INDIRECT("'SorP'!$A$"&amp;MATCH($J2104,SorP!$B$1:$B$6230,0))))</f>
        <v/>
      </c>
      <c r="U2104" s="241"/>
      <c r="V2104" s="275" t="e">
        <f>IF(C2104="",NA(),MATCH($B2104&amp;$C2104,'Smelter Look-up'!$J:$J,0))</f>
        <v>#N/A</v>
      </c>
      <c r="W2104" s="276"/>
      <c r="X2104" s="276">
        <f t="shared" ca="1" si="295"/>
        <v>0</v>
      </c>
      <c r="Y2104" s="276"/>
      <c r="Z2104" s="276"/>
      <c r="AB2104" s="278" t="str">
        <f t="shared" si="296"/>
        <v/>
      </c>
    </row>
    <row r="2105" spans="1:28" s="277" customFormat="1" ht="20.25">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294"/>
        <v/>
      </c>
      <c r="T2105" s="225" t="str">
        <f ca="1">IF(B2105="","",IF(ISERROR(MATCH($J2105,SorP!$B$1:$B$6230,0)),"",INDIRECT("'SorP'!$A$"&amp;MATCH($J2105,SorP!$B$1:$B$6230,0))))</f>
        <v/>
      </c>
      <c r="U2105" s="241"/>
      <c r="V2105" s="275" t="e">
        <f>IF(C2105="",NA(),MATCH($B2105&amp;$C2105,'Smelter Look-up'!$J:$J,0))</f>
        <v>#N/A</v>
      </c>
      <c r="W2105" s="276"/>
      <c r="X2105" s="276">
        <f t="shared" ca="1" si="295"/>
        <v>0</v>
      </c>
      <c r="Y2105" s="276"/>
      <c r="Z2105" s="276"/>
      <c r="AB2105" s="278" t="str">
        <f t="shared" si="296"/>
        <v/>
      </c>
    </row>
    <row r="2106" spans="1:28" s="277" customFormat="1" ht="20.25">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294"/>
        <v/>
      </c>
      <c r="T2106" s="225" t="str">
        <f ca="1">IF(B2106="","",IF(ISERROR(MATCH($J2106,SorP!$B$1:$B$6230,0)),"",INDIRECT("'SorP'!$A$"&amp;MATCH($J2106,SorP!$B$1:$B$6230,0))))</f>
        <v/>
      </c>
      <c r="U2106" s="241"/>
      <c r="V2106" s="275" t="e">
        <f>IF(C2106="",NA(),MATCH($B2106&amp;$C2106,'Smelter Look-up'!$J:$J,0))</f>
        <v>#N/A</v>
      </c>
      <c r="W2106" s="276"/>
      <c r="X2106" s="276">
        <f t="shared" ca="1" si="295"/>
        <v>0</v>
      </c>
      <c r="Y2106" s="276"/>
      <c r="Z2106" s="276"/>
      <c r="AB2106" s="278" t="str">
        <f t="shared" si="296"/>
        <v/>
      </c>
    </row>
    <row r="2107" spans="1:28" s="277" customFormat="1" ht="20.25">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ref="S2107" ca="1" si="297">IF(B2107="","",IF(ISERROR(MATCH($E2107,CL,0)),"Unknown",INDIRECT("'C'!$A$"&amp;MATCH($E2107,CL,0)+1)))</f>
        <v/>
      </c>
      <c r="T2107" s="225" t="str">
        <f ca="1">IF(B2107="","",IF(ISERROR(MATCH($J2107,SorP!$B$1:$B$6230,0)),"",INDIRECT("'SorP'!$A$"&amp;MATCH($J2107,SorP!$B$1:$B$6230,0))))</f>
        <v/>
      </c>
      <c r="U2107" s="241"/>
      <c r="V2107" s="275" t="e">
        <f>IF(C2107="",NA(),MATCH($B2107&amp;$C2107,'Smelter Look-up'!$J:$J,0))</f>
        <v>#N/A</v>
      </c>
      <c r="W2107" s="276"/>
      <c r="X2107" s="276">
        <f t="shared" ref="X2107" ca="1" si="298">IF(AND(C2107="Smelter not listed",OR(LEN(D2107)=0,LEN(E2107)=0)),1,0)</f>
        <v>0</v>
      </c>
      <c r="Y2107" s="276"/>
      <c r="Z2107" s="276"/>
      <c r="AB2107" s="278" t="str">
        <f t="shared" ref="AB2107" si="299">B2107&amp;C2107</f>
        <v/>
      </c>
    </row>
    <row r="2108" spans="1:28" s="277" customFormat="1" ht="20.25">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ref="S2108:S2139" ca="1" si="300">IF(B2108="","",IF(ISERROR(MATCH($E2108,CL,0)),"Unknown",INDIRECT("'C'!$A$"&amp;MATCH($E2108,CL,0)+1)))</f>
        <v/>
      </c>
      <c r="T2108" s="225" t="str">
        <f ca="1">IF(B2108="","",IF(ISERROR(MATCH($J2108,SorP!$B$1:$B$6230,0)),"",INDIRECT("'SorP'!$A$"&amp;MATCH($J2108,SorP!$B$1:$B$6230,0))))</f>
        <v/>
      </c>
      <c r="U2108" s="241"/>
      <c r="V2108" s="275" t="e">
        <f>IF(C2108="",NA(),MATCH($B2108&amp;$C2108,'Smelter Look-up'!$J:$J,0))</f>
        <v>#N/A</v>
      </c>
      <c r="W2108" s="276"/>
      <c r="X2108" s="276">
        <f t="shared" ref="X2108:X2139" ca="1" si="301">IF(AND(C2108="Smelter not listed",OR(LEN(D2108)=0,LEN(E2108)=0)),1,0)</f>
        <v>0</v>
      </c>
      <c r="Y2108" s="276"/>
      <c r="Z2108" s="276"/>
      <c r="AB2108" s="278" t="str">
        <f t="shared" ref="AB2108:AB2139" si="302">B2108&amp;C2108</f>
        <v/>
      </c>
    </row>
    <row r="2109" spans="1:28" s="277" customFormat="1" ht="20.25">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300"/>
        <v/>
      </c>
      <c r="T2109" s="225" t="str">
        <f ca="1">IF(B2109="","",IF(ISERROR(MATCH($J2109,SorP!$B$1:$B$6230,0)),"",INDIRECT("'SorP'!$A$"&amp;MATCH($J2109,SorP!$B$1:$B$6230,0))))</f>
        <v/>
      </c>
      <c r="U2109" s="241"/>
      <c r="V2109" s="275" t="e">
        <f>IF(C2109="",NA(),MATCH($B2109&amp;$C2109,'Smelter Look-up'!$J:$J,0))</f>
        <v>#N/A</v>
      </c>
      <c r="W2109" s="276"/>
      <c r="X2109" s="276">
        <f t="shared" ca="1" si="301"/>
        <v>0</v>
      </c>
      <c r="Y2109" s="276"/>
      <c r="Z2109" s="276"/>
      <c r="AB2109" s="278" t="str">
        <f t="shared" si="302"/>
        <v/>
      </c>
    </row>
    <row r="2110" spans="1:28" s="277" customFormat="1" ht="20.25">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300"/>
        <v/>
      </c>
      <c r="T2110" s="225" t="str">
        <f ca="1">IF(B2110="","",IF(ISERROR(MATCH($J2110,SorP!$B$1:$B$6230,0)),"",INDIRECT("'SorP'!$A$"&amp;MATCH($J2110,SorP!$B$1:$B$6230,0))))</f>
        <v/>
      </c>
      <c r="U2110" s="241"/>
      <c r="V2110" s="275" t="e">
        <f>IF(C2110="",NA(),MATCH($B2110&amp;$C2110,'Smelter Look-up'!$J:$J,0))</f>
        <v>#N/A</v>
      </c>
      <c r="W2110" s="276"/>
      <c r="X2110" s="276">
        <f t="shared" ca="1" si="301"/>
        <v>0</v>
      </c>
      <c r="Y2110" s="276"/>
      <c r="Z2110" s="276"/>
      <c r="AB2110" s="278" t="str">
        <f t="shared" si="302"/>
        <v/>
      </c>
    </row>
    <row r="2111" spans="1:28" s="277" customFormat="1" ht="20.25">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300"/>
        <v/>
      </c>
      <c r="T2111" s="225" t="str">
        <f ca="1">IF(B2111="","",IF(ISERROR(MATCH($J2111,SorP!$B$1:$B$6230,0)),"",INDIRECT("'SorP'!$A$"&amp;MATCH($J2111,SorP!$B$1:$B$6230,0))))</f>
        <v/>
      </c>
      <c r="U2111" s="241"/>
      <c r="V2111" s="275" t="e">
        <f>IF(C2111="",NA(),MATCH($B2111&amp;$C2111,'Smelter Look-up'!$J:$J,0))</f>
        <v>#N/A</v>
      </c>
      <c r="W2111" s="276"/>
      <c r="X2111" s="276">
        <f t="shared" ca="1" si="301"/>
        <v>0</v>
      </c>
      <c r="Y2111" s="276"/>
      <c r="Z2111" s="276"/>
      <c r="AB2111" s="278" t="str">
        <f t="shared" si="302"/>
        <v/>
      </c>
    </row>
    <row r="2112" spans="1:28" s="277" customFormat="1" ht="20.25">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300"/>
        <v/>
      </c>
      <c r="T2112" s="225" t="str">
        <f ca="1">IF(B2112="","",IF(ISERROR(MATCH($J2112,SorP!$B$1:$B$6230,0)),"",INDIRECT("'SorP'!$A$"&amp;MATCH($J2112,SorP!$B$1:$B$6230,0))))</f>
        <v/>
      </c>
      <c r="U2112" s="241"/>
      <c r="V2112" s="275" t="e">
        <f>IF(C2112="",NA(),MATCH($B2112&amp;$C2112,'Smelter Look-up'!$J:$J,0))</f>
        <v>#N/A</v>
      </c>
      <c r="W2112" s="276"/>
      <c r="X2112" s="276">
        <f t="shared" ca="1" si="301"/>
        <v>0</v>
      </c>
      <c r="Y2112" s="276"/>
      <c r="Z2112" s="276"/>
      <c r="AB2112" s="278" t="str">
        <f t="shared" si="302"/>
        <v/>
      </c>
    </row>
    <row r="2113" spans="1:28" s="277" customFormat="1" ht="20.25">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300"/>
        <v/>
      </c>
      <c r="T2113" s="225" t="str">
        <f ca="1">IF(B2113="","",IF(ISERROR(MATCH($J2113,SorP!$B$1:$B$6230,0)),"",INDIRECT("'SorP'!$A$"&amp;MATCH($J2113,SorP!$B$1:$B$6230,0))))</f>
        <v/>
      </c>
      <c r="U2113" s="241"/>
      <c r="V2113" s="275" t="e">
        <f>IF(C2113="",NA(),MATCH($B2113&amp;$C2113,'Smelter Look-up'!$J:$J,0))</f>
        <v>#N/A</v>
      </c>
      <c r="W2113" s="276"/>
      <c r="X2113" s="276">
        <f t="shared" ca="1" si="301"/>
        <v>0</v>
      </c>
      <c r="Y2113" s="276"/>
      <c r="Z2113" s="276"/>
      <c r="AB2113" s="278" t="str">
        <f t="shared" si="302"/>
        <v/>
      </c>
    </row>
    <row r="2114" spans="1:28" s="277" customFormat="1" ht="20.25">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300"/>
        <v/>
      </c>
      <c r="T2114" s="225" t="str">
        <f ca="1">IF(B2114="","",IF(ISERROR(MATCH($J2114,SorP!$B$1:$B$6230,0)),"",INDIRECT("'SorP'!$A$"&amp;MATCH($J2114,SorP!$B$1:$B$6230,0))))</f>
        <v/>
      </c>
      <c r="U2114" s="241"/>
      <c r="V2114" s="275" t="e">
        <f>IF(C2114="",NA(),MATCH($B2114&amp;$C2114,'Smelter Look-up'!$J:$J,0))</f>
        <v>#N/A</v>
      </c>
      <c r="W2114" s="276"/>
      <c r="X2114" s="276">
        <f t="shared" ca="1" si="301"/>
        <v>0</v>
      </c>
      <c r="Y2114" s="276"/>
      <c r="Z2114" s="276"/>
      <c r="AB2114" s="278" t="str">
        <f t="shared" si="302"/>
        <v/>
      </c>
    </row>
    <row r="2115" spans="1:28" s="277" customFormat="1" ht="20.25">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300"/>
        <v/>
      </c>
      <c r="T2115" s="225" t="str">
        <f ca="1">IF(B2115="","",IF(ISERROR(MATCH($J2115,SorP!$B$1:$B$6230,0)),"",INDIRECT("'SorP'!$A$"&amp;MATCH($J2115,SorP!$B$1:$B$6230,0))))</f>
        <v/>
      </c>
      <c r="U2115" s="241"/>
      <c r="V2115" s="275" t="e">
        <f>IF(C2115="",NA(),MATCH($B2115&amp;$C2115,'Smelter Look-up'!$J:$J,0))</f>
        <v>#N/A</v>
      </c>
      <c r="W2115" s="276"/>
      <c r="X2115" s="276">
        <f t="shared" ca="1" si="301"/>
        <v>0</v>
      </c>
      <c r="Y2115" s="276"/>
      <c r="Z2115" s="276"/>
      <c r="AB2115" s="278" t="str">
        <f t="shared" si="302"/>
        <v/>
      </c>
    </row>
    <row r="2116" spans="1:28" s="277" customFormat="1" ht="20.25">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300"/>
        <v/>
      </c>
      <c r="T2116" s="225" t="str">
        <f ca="1">IF(B2116="","",IF(ISERROR(MATCH($J2116,SorP!$B$1:$B$6230,0)),"",INDIRECT("'SorP'!$A$"&amp;MATCH($J2116,SorP!$B$1:$B$6230,0))))</f>
        <v/>
      </c>
      <c r="U2116" s="241"/>
      <c r="V2116" s="275" t="e">
        <f>IF(C2116="",NA(),MATCH($B2116&amp;$C2116,'Smelter Look-up'!$J:$J,0))</f>
        <v>#N/A</v>
      </c>
      <c r="W2116" s="276"/>
      <c r="X2116" s="276">
        <f t="shared" ca="1" si="301"/>
        <v>0</v>
      </c>
      <c r="Y2116" s="276"/>
      <c r="Z2116" s="276"/>
      <c r="AB2116" s="278" t="str">
        <f t="shared" si="302"/>
        <v/>
      </c>
    </row>
    <row r="2117" spans="1:28" s="277" customFormat="1" ht="20.25">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300"/>
        <v/>
      </c>
      <c r="T2117" s="225" t="str">
        <f ca="1">IF(B2117="","",IF(ISERROR(MATCH($J2117,SorP!$B$1:$B$6230,0)),"",INDIRECT("'SorP'!$A$"&amp;MATCH($J2117,SorP!$B$1:$B$6230,0))))</f>
        <v/>
      </c>
      <c r="U2117" s="241"/>
      <c r="V2117" s="275" t="e">
        <f>IF(C2117="",NA(),MATCH($B2117&amp;$C2117,'Smelter Look-up'!$J:$J,0))</f>
        <v>#N/A</v>
      </c>
      <c r="W2117" s="276"/>
      <c r="X2117" s="276">
        <f t="shared" ca="1" si="301"/>
        <v>0</v>
      </c>
      <c r="Y2117" s="276"/>
      <c r="Z2117" s="276"/>
      <c r="AB2117" s="278" t="str">
        <f t="shared" si="302"/>
        <v/>
      </c>
    </row>
    <row r="2118" spans="1:28" s="277" customFormat="1" ht="20.25">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300"/>
        <v/>
      </c>
      <c r="T2118" s="225" t="str">
        <f ca="1">IF(B2118="","",IF(ISERROR(MATCH($J2118,SorP!$B$1:$B$6230,0)),"",INDIRECT("'SorP'!$A$"&amp;MATCH($J2118,SorP!$B$1:$B$6230,0))))</f>
        <v/>
      </c>
      <c r="U2118" s="241"/>
      <c r="V2118" s="275" t="e">
        <f>IF(C2118="",NA(),MATCH($B2118&amp;$C2118,'Smelter Look-up'!$J:$J,0))</f>
        <v>#N/A</v>
      </c>
      <c r="W2118" s="276"/>
      <c r="X2118" s="276">
        <f t="shared" ca="1" si="301"/>
        <v>0</v>
      </c>
      <c r="Y2118" s="276"/>
      <c r="Z2118" s="276"/>
      <c r="AB2118" s="278" t="str">
        <f t="shared" si="302"/>
        <v/>
      </c>
    </row>
    <row r="2119" spans="1:28" s="277" customFormat="1" ht="20.25">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300"/>
        <v/>
      </c>
      <c r="T2119" s="225" t="str">
        <f ca="1">IF(B2119="","",IF(ISERROR(MATCH($J2119,SorP!$B$1:$B$6230,0)),"",INDIRECT("'SorP'!$A$"&amp;MATCH($J2119,SorP!$B$1:$B$6230,0))))</f>
        <v/>
      </c>
      <c r="U2119" s="241"/>
      <c r="V2119" s="275" t="e">
        <f>IF(C2119="",NA(),MATCH($B2119&amp;$C2119,'Smelter Look-up'!$J:$J,0))</f>
        <v>#N/A</v>
      </c>
      <c r="W2119" s="276"/>
      <c r="X2119" s="276">
        <f t="shared" ca="1" si="301"/>
        <v>0</v>
      </c>
      <c r="Y2119" s="276"/>
      <c r="Z2119" s="276"/>
      <c r="AB2119" s="278" t="str">
        <f t="shared" si="302"/>
        <v/>
      </c>
    </row>
    <row r="2120" spans="1:28" s="277" customFormat="1" ht="20.25">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300"/>
        <v/>
      </c>
      <c r="T2120" s="225" t="str">
        <f ca="1">IF(B2120="","",IF(ISERROR(MATCH($J2120,SorP!$B$1:$B$6230,0)),"",INDIRECT("'SorP'!$A$"&amp;MATCH($J2120,SorP!$B$1:$B$6230,0))))</f>
        <v/>
      </c>
      <c r="U2120" s="241"/>
      <c r="V2120" s="275" t="e">
        <f>IF(C2120="",NA(),MATCH($B2120&amp;$C2120,'Smelter Look-up'!$J:$J,0))</f>
        <v>#N/A</v>
      </c>
      <c r="W2120" s="276"/>
      <c r="X2120" s="276">
        <f t="shared" ca="1" si="301"/>
        <v>0</v>
      </c>
      <c r="Y2120" s="276"/>
      <c r="Z2120" s="276"/>
      <c r="AB2120" s="278" t="str">
        <f t="shared" si="302"/>
        <v/>
      </c>
    </row>
    <row r="2121" spans="1:28" s="277" customFormat="1" ht="20.25">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300"/>
        <v/>
      </c>
      <c r="T2121" s="225" t="str">
        <f ca="1">IF(B2121="","",IF(ISERROR(MATCH($J2121,SorP!$B$1:$B$6230,0)),"",INDIRECT("'SorP'!$A$"&amp;MATCH($J2121,SorP!$B$1:$B$6230,0))))</f>
        <v/>
      </c>
      <c r="U2121" s="241"/>
      <c r="V2121" s="275" t="e">
        <f>IF(C2121="",NA(),MATCH($B2121&amp;$C2121,'Smelter Look-up'!$J:$J,0))</f>
        <v>#N/A</v>
      </c>
      <c r="W2121" s="276"/>
      <c r="X2121" s="276">
        <f t="shared" ca="1" si="301"/>
        <v>0</v>
      </c>
      <c r="Y2121" s="276"/>
      <c r="Z2121" s="276"/>
      <c r="AB2121" s="278" t="str">
        <f t="shared" si="302"/>
        <v/>
      </c>
    </row>
    <row r="2122" spans="1:28" s="277" customFormat="1" ht="20.25">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300"/>
        <v/>
      </c>
      <c r="T2122" s="225" t="str">
        <f ca="1">IF(B2122="","",IF(ISERROR(MATCH($J2122,SorP!$B$1:$B$6230,0)),"",INDIRECT("'SorP'!$A$"&amp;MATCH($J2122,SorP!$B$1:$B$6230,0))))</f>
        <v/>
      </c>
      <c r="U2122" s="241"/>
      <c r="V2122" s="275" t="e">
        <f>IF(C2122="",NA(),MATCH($B2122&amp;$C2122,'Smelter Look-up'!$J:$J,0))</f>
        <v>#N/A</v>
      </c>
      <c r="W2122" s="276"/>
      <c r="X2122" s="276">
        <f t="shared" ca="1" si="301"/>
        <v>0</v>
      </c>
      <c r="Y2122" s="276"/>
      <c r="Z2122" s="276"/>
      <c r="AB2122" s="278" t="str">
        <f t="shared" si="302"/>
        <v/>
      </c>
    </row>
    <row r="2123" spans="1:28" s="277" customFormat="1" ht="20.25">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300"/>
        <v/>
      </c>
      <c r="T2123" s="225" t="str">
        <f ca="1">IF(B2123="","",IF(ISERROR(MATCH($J2123,SorP!$B$1:$B$6230,0)),"",INDIRECT("'SorP'!$A$"&amp;MATCH($J2123,SorP!$B$1:$B$6230,0))))</f>
        <v/>
      </c>
      <c r="U2123" s="241"/>
      <c r="V2123" s="275" t="e">
        <f>IF(C2123="",NA(),MATCH($B2123&amp;$C2123,'Smelter Look-up'!$J:$J,0))</f>
        <v>#N/A</v>
      </c>
      <c r="W2123" s="276"/>
      <c r="X2123" s="276">
        <f t="shared" ca="1" si="301"/>
        <v>0</v>
      </c>
      <c r="Y2123" s="276"/>
      <c r="Z2123" s="276"/>
      <c r="AB2123" s="278" t="str">
        <f t="shared" si="302"/>
        <v/>
      </c>
    </row>
    <row r="2124" spans="1:28" s="277" customFormat="1" ht="20.25">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300"/>
        <v/>
      </c>
      <c r="T2124" s="225" t="str">
        <f ca="1">IF(B2124="","",IF(ISERROR(MATCH($J2124,SorP!$B$1:$B$6230,0)),"",INDIRECT("'SorP'!$A$"&amp;MATCH($J2124,SorP!$B$1:$B$6230,0))))</f>
        <v/>
      </c>
      <c r="U2124" s="241"/>
      <c r="V2124" s="275" t="e">
        <f>IF(C2124="",NA(),MATCH($B2124&amp;$C2124,'Smelter Look-up'!$J:$J,0))</f>
        <v>#N/A</v>
      </c>
      <c r="W2124" s="276"/>
      <c r="X2124" s="276">
        <f t="shared" ca="1" si="301"/>
        <v>0</v>
      </c>
      <c r="Y2124" s="276"/>
      <c r="Z2124" s="276"/>
      <c r="AB2124" s="278" t="str">
        <f t="shared" si="302"/>
        <v/>
      </c>
    </row>
    <row r="2125" spans="1:28" s="277" customFormat="1" ht="20.25">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300"/>
        <v/>
      </c>
      <c r="T2125" s="225" t="str">
        <f ca="1">IF(B2125="","",IF(ISERROR(MATCH($J2125,SorP!$B$1:$B$6230,0)),"",INDIRECT("'SorP'!$A$"&amp;MATCH($J2125,SorP!$B$1:$B$6230,0))))</f>
        <v/>
      </c>
      <c r="U2125" s="241"/>
      <c r="V2125" s="275" t="e">
        <f>IF(C2125="",NA(),MATCH($B2125&amp;$C2125,'Smelter Look-up'!$J:$J,0))</f>
        <v>#N/A</v>
      </c>
      <c r="W2125" s="276"/>
      <c r="X2125" s="276">
        <f t="shared" ca="1" si="301"/>
        <v>0</v>
      </c>
      <c r="Y2125" s="276"/>
      <c r="Z2125" s="276"/>
      <c r="AB2125" s="278" t="str">
        <f t="shared" si="302"/>
        <v/>
      </c>
    </row>
    <row r="2126" spans="1:28" s="277" customFormat="1" ht="20.25">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300"/>
        <v/>
      </c>
      <c r="T2126" s="225" t="str">
        <f ca="1">IF(B2126="","",IF(ISERROR(MATCH($J2126,SorP!$B$1:$B$6230,0)),"",INDIRECT("'SorP'!$A$"&amp;MATCH($J2126,SorP!$B$1:$B$6230,0))))</f>
        <v/>
      </c>
      <c r="U2126" s="241"/>
      <c r="V2126" s="275" t="e">
        <f>IF(C2126="",NA(),MATCH($B2126&amp;$C2126,'Smelter Look-up'!$J:$J,0))</f>
        <v>#N/A</v>
      </c>
      <c r="W2126" s="276"/>
      <c r="X2126" s="276">
        <f t="shared" ca="1" si="301"/>
        <v>0</v>
      </c>
      <c r="Y2126" s="276"/>
      <c r="Z2126" s="276"/>
      <c r="AB2126" s="278" t="str">
        <f t="shared" si="302"/>
        <v/>
      </c>
    </row>
    <row r="2127" spans="1:28" s="277" customFormat="1" ht="20.25">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300"/>
        <v/>
      </c>
      <c r="T2127" s="225" t="str">
        <f ca="1">IF(B2127="","",IF(ISERROR(MATCH($J2127,SorP!$B$1:$B$6230,0)),"",INDIRECT("'SorP'!$A$"&amp;MATCH($J2127,SorP!$B$1:$B$6230,0))))</f>
        <v/>
      </c>
      <c r="U2127" s="241"/>
      <c r="V2127" s="275" t="e">
        <f>IF(C2127="",NA(),MATCH($B2127&amp;$C2127,'Smelter Look-up'!$J:$J,0))</f>
        <v>#N/A</v>
      </c>
      <c r="W2127" s="276"/>
      <c r="X2127" s="276">
        <f t="shared" ca="1" si="301"/>
        <v>0</v>
      </c>
      <c r="Y2127" s="276"/>
      <c r="Z2127" s="276"/>
      <c r="AB2127" s="278" t="str">
        <f t="shared" si="302"/>
        <v/>
      </c>
    </row>
    <row r="2128" spans="1:28" s="277" customFormat="1" ht="20.25">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300"/>
        <v/>
      </c>
      <c r="T2128" s="225" t="str">
        <f ca="1">IF(B2128="","",IF(ISERROR(MATCH($J2128,SorP!$B$1:$B$6230,0)),"",INDIRECT("'SorP'!$A$"&amp;MATCH($J2128,SorP!$B$1:$B$6230,0))))</f>
        <v/>
      </c>
      <c r="U2128" s="241"/>
      <c r="V2128" s="275" t="e">
        <f>IF(C2128="",NA(),MATCH($B2128&amp;$C2128,'Smelter Look-up'!$J:$J,0))</f>
        <v>#N/A</v>
      </c>
      <c r="W2128" s="276"/>
      <c r="X2128" s="276">
        <f t="shared" ca="1" si="301"/>
        <v>0</v>
      </c>
      <c r="Y2128" s="276"/>
      <c r="Z2128" s="276"/>
      <c r="AB2128" s="278" t="str">
        <f t="shared" si="302"/>
        <v/>
      </c>
    </row>
    <row r="2129" spans="1:28" s="277" customFormat="1" ht="20.25">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300"/>
        <v/>
      </c>
      <c r="T2129" s="225" t="str">
        <f ca="1">IF(B2129="","",IF(ISERROR(MATCH($J2129,SorP!$B$1:$B$6230,0)),"",INDIRECT("'SorP'!$A$"&amp;MATCH($J2129,SorP!$B$1:$B$6230,0))))</f>
        <v/>
      </c>
      <c r="U2129" s="241"/>
      <c r="V2129" s="275" t="e">
        <f>IF(C2129="",NA(),MATCH($B2129&amp;$C2129,'Smelter Look-up'!$J:$J,0))</f>
        <v>#N/A</v>
      </c>
      <c r="W2129" s="276"/>
      <c r="X2129" s="276">
        <f t="shared" ca="1" si="301"/>
        <v>0</v>
      </c>
      <c r="Y2129" s="276"/>
      <c r="Z2129" s="276"/>
      <c r="AB2129" s="278" t="str">
        <f t="shared" si="302"/>
        <v/>
      </c>
    </row>
    <row r="2130" spans="1:28" s="277" customFormat="1" ht="20.25">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300"/>
        <v/>
      </c>
      <c r="T2130" s="225" t="str">
        <f ca="1">IF(B2130="","",IF(ISERROR(MATCH($J2130,SorP!$B$1:$B$6230,0)),"",INDIRECT("'SorP'!$A$"&amp;MATCH($J2130,SorP!$B$1:$B$6230,0))))</f>
        <v/>
      </c>
      <c r="U2130" s="241"/>
      <c r="V2130" s="275" t="e">
        <f>IF(C2130="",NA(),MATCH($B2130&amp;$C2130,'Smelter Look-up'!$J:$J,0))</f>
        <v>#N/A</v>
      </c>
      <c r="W2130" s="276"/>
      <c r="X2130" s="276">
        <f t="shared" ca="1" si="301"/>
        <v>0</v>
      </c>
      <c r="Y2130" s="276"/>
      <c r="Z2130" s="276"/>
      <c r="AB2130" s="278" t="str">
        <f t="shared" si="302"/>
        <v/>
      </c>
    </row>
    <row r="2131" spans="1:28" s="277" customFormat="1" ht="20.25">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300"/>
        <v/>
      </c>
      <c r="T2131" s="225" t="str">
        <f ca="1">IF(B2131="","",IF(ISERROR(MATCH($J2131,SorP!$B$1:$B$6230,0)),"",INDIRECT("'SorP'!$A$"&amp;MATCH($J2131,SorP!$B$1:$B$6230,0))))</f>
        <v/>
      </c>
      <c r="U2131" s="241"/>
      <c r="V2131" s="275" t="e">
        <f>IF(C2131="",NA(),MATCH($B2131&amp;$C2131,'Smelter Look-up'!$J:$J,0))</f>
        <v>#N/A</v>
      </c>
      <c r="W2131" s="276"/>
      <c r="X2131" s="276">
        <f t="shared" ca="1" si="301"/>
        <v>0</v>
      </c>
      <c r="Y2131" s="276"/>
      <c r="Z2131" s="276"/>
      <c r="AB2131" s="278" t="str">
        <f t="shared" si="302"/>
        <v/>
      </c>
    </row>
    <row r="2132" spans="1:28" s="277" customFormat="1" ht="20.25">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300"/>
        <v/>
      </c>
      <c r="T2132" s="225" t="str">
        <f ca="1">IF(B2132="","",IF(ISERROR(MATCH($J2132,SorP!$B$1:$B$6230,0)),"",INDIRECT("'SorP'!$A$"&amp;MATCH($J2132,SorP!$B$1:$B$6230,0))))</f>
        <v/>
      </c>
      <c r="U2132" s="241"/>
      <c r="V2132" s="275" t="e">
        <f>IF(C2132="",NA(),MATCH($B2132&amp;$C2132,'Smelter Look-up'!$J:$J,0))</f>
        <v>#N/A</v>
      </c>
      <c r="W2132" s="276"/>
      <c r="X2132" s="276">
        <f t="shared" ca="1" si="301"/>
        <v>0</v>
      </c>
      <c r="Y2132" s="276"/>
      <c r="Z2132" s="276"/>
      <c r="AB2132" s="278" t="str">
        <f t="shared" si="302"/>
        <v/>
      </c>
    </row>
    <row r="2133" spans="1:28" s="277" customFormat="1" ht="20.25">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300"/>
        <v/>
      </c>
      <c r="T2133" s="225" t="str">
        <f ca="1">IF(B2133="","",IF(ISERROR(MATCH($J2133,SorP!$B$1:$B$6230,0)),"",INDIRECT("'SorP'!$A$"&amp;MATCH($J2133,SorP!$B$1:$B$6230,0))))</f>
        <v/>
      </c>
      <c r="U2133" s="241"/>
      <c r="V2133" s="275" t="e">
        <f>IF(C2133="",NA(),MATCH($B2133&amp;$C2133,'Smelter Look-up'!$J:$J,0))</f>
        <v>#N/A</v>
      </c>
      <c r="W2133" s="276"/>
      <c r="X2133" s="276">
        <f t="shared" ca="1" si="301"/>
        <v>0</v>
      </c>
      <c r="Y2133" s="276"/>
      <c r="Z2133" s="276"/>
      <c r="AB2133" s="278" t="str">
        <f t="shared" si="302"/>
        <v/>
      </c>
    </row>
    <row r="2134" spans="1:28" s="277" customFormat="1" ht="20.25">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300"/>
        <v/>
      </c>
      <c r="T2134" s="225" t="str">
        <f ca="1">IF(B2134="","",IF(ISERROR(MATCH($J2134,SorP!$B$1:$B$6230,0)),"",INDIRECT("'SorP'!$A$"&amp;MATCH($J2134,SorP!$B$1:$B$6230,0))))</f>
        <v/>
      </c>
      <c r="U2134" s="241"/>
      <c r="V2134" s="275" t="e">
        <f>IF(C2134="",NA(),MATCH($B2134&amp;$C2134,'Smelter Look-up'!$J:$J,0))</f>
        <v>#N/A</v>
      </c>
      <c r="W2134" s="276"/>
      <c r="X2134" s="276">
        <f t="shared" ca="1" si="301"/>
        <v>0</v>
      </c>
      <c r="Y2134" s="276"/>
      <c r="Z2134" s="276"/>
      <c r="AB2134" s="278" t="str">
        <f t="shared" si="302"/>
        <v/>
      </c>
    </row>
    <row r="2135" spans="1:28" s="277" customFormat="1" ht="20.25">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300"/>
        <v/>
      </c>
      <c r="T2135" s="225" t="str">
        <f ca="1">IF(B2135="","",IF(ISERROR(MATCH($J2135,SorP!$B$1:$B$6230,0)),"",INDIRECT("'SorP'!$A$"&amp;MATCH($J2135,SorP!$B$1:$B$6230,0))))</f>
        <v/>
      </c>
      <c r="U2135" s="241"/>
      <c r="V2135" s="275" t="e">
        <f>IF(C2135="",NA(),MATCH($B2135&amp;$C2135,'Smelter Look-up'!$J:$J,0))</f>
        <v>#N/A</v>
      </c>
      <c r="W2135" s="276"/>
      <c r="X2135" s="276">
        <f t="shared" ca="1" si="301"/>
        <v>0</v>
      </c>
      <c r="Y2135" s="276"/>
      <c r="Z2135" s="276"/>
      <c r="AB2135" s="278" t="str">
        <f t="shared" si="302"/>
        <v/>
      </c>
    </row>
    <row r="2136" spans="1:28" s="277" customFormat="1" ht="20.25">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300"/>
        <v/>
      </c>
      <c r="T2136" s="225" t="str">
        <f ca="1">IF(B2136="","",IF(ISERROR(MATCH($J2136,SorP!$B$1:$B$6230,0)),"",INDIRECT("'SorP'!$A$"&amp;MATCH($J2136,SorP!$B$1:$B$6230,0))))</f>
        <v/>
      </c>
      <c r="U2136" s="241"/>
      <c r="V2136" s="275" t="e">
        <f>IF(C2136="",NA(),MATCH($B2136&amp;$C2136,'Smelter Look-up'!$J:$J,0))</f>
        <v>#N/A</v>
      </c>
      <c r="W2136" s="276"/>
      <c r="X2136" s="276">
        <f t="shared" ca="1" si="301"/>
        <v>0</v>
      </c>
      <c r="Y2136" s="276"/>
      <c r="Z2136" s="276"/>
      <c r="AB2136" s="278" t="str">
        <f t="shared" si="302"/>
        <v/>
      </c>
    </row>
    <row r="2137" spans="1:28" s="277" customFormat="1" ht="20.25">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300"/>
        <v/>
      </c>
      <c r="T2137" s="225" t="str">
        <f ca="1">IF(B2137="","",IF(ISERROR(MATCH($J2137,SorP!$B$1:$B$6230,0)),"",INDIRECT("'SorP'!$A$"&amp;MATCH($J2137,SorP!$B$1:$B$6230,0))))</f>
        <v/>
      </c>
      <c r="U2137" s="241"/>
      <c r="V2137" s="275" t="e">
        <f>IF(C2137="",NA(),MATCH($B2137&amp;$C2137,'Smelter Look-up'!$J:$J,0))</f>
        <v>#N/A</v>
      </c>
      <c r="W2137" s="276"/>
      <c r="X2137" s="276">
        <f t="shared" ca="1" si="301"/>
        <v>0</v>
      </c>
      <c r="Y2137" s="276"/>
      <c r="Z2137" s="276"/>
      <c r="AB2137" s="278" t="str">
        <f t="shared" si="302"/>
        <v/>
      </c>
    </row>
    <row r="2138" spans="1:28" s="277" customFormat="1" ht="20.25">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300"/>
        <v/>
      </c>
      <c r="T2138" s="225" t="str">
        <f ca="1">IF(B2138="","",IF(ISERROR(MATCH($J2138,SorP!$B$1:$B$6230,0)),"",INDIRECT("'SorP'!$A$"&amp;MATCH($J2138,SorP!$B$1:$B$6230,0))))</f>
        <v/>
      </c>
      <c r="U2138" s="241"/>
      <c r="V2138" s="275" t="e">
        <f>IF(C2138="",NA(),MATCH($B2138&amp;$C2138,'Smelter Look-up'!$J:$J,0))</f>
        <v>#N/A</v>
      </c>
      <c r="W2138" s="276"/>
      <c r="X2138" s="276">
        <f t="shared" ca="1" si="301"/>
        <v>0</v>
      </c>
      <c r="Y2138" s="276"/>
      <c r="Z2138" s="276"/>
      <c r="AB2138" s="278" t="str">
        <f t="shared" si="302"/>
        <v/>
      </c>
    </row>
    <row r="2139" spans="1:28" s="277" customFormat="1" ht="20.25">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300"/>
        <v/>
      </c>
      <c r="T2139" s="225" t="str">
        <f ca="1">IF(B2139="","",IF(ISERROR(MATCH($J2139,SorP!$B$1:$B$6230,0)),"",INDIRECT("'SorP'!$A$"&amp;MATCH($J2139,SorP!$B$1:$B$6230,0))))</f>
        <v/>
      </c>
      <c r="U2139" s="241"/>
      <c r="V2139" s="275" t="e">
        <f>IF(C2139="",NA(),MATCH($B2139&amp;$C2139,'Smelter Look-up'!$J:$J,0))</f>
        <v>#N/A</v>
      </c>
      <c r="W2139" s="276"/>
      <c r="X2139" s="276">
        <f t="shared" ca="1" si="301"/>
        <v>0</v>
      </c>
      <c r="Y2139" s="276"/>
      <c r="Z2139" s="276"/>
      <c r="AB2139" s="278" t="str">
        <f t="shared" si="302"/>
        <v/>
      </c>
    </row>
    <row r="2140" spans="1:28" s="277" customFormat="1" ht="20.25">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ref="S2140:S2170" ca="1" si="303">IF(B2140="","",IF(ISERROR(MATCH($E2140,CL,0)),"Unknown",INDIRECT("'C'!$A$"&amp;MATCH($E2140,CL,0)+1)))</f>
        <v/>
      </c>
      <c r="T2140" s="225" t="str">
        <f ca="1">IF(B2140="","",IF(ISERROR(MATCH($J2140,SorP!$B$1:$B$6230,0)),"",INDIRECT("'SorP'!$A$"&amp;MATCH($J2140,SorP!$B$1:$B$6230,0))))</f>
        <v/>
      </c>
      <c r="U2140" s="241"/>
      <c r="V2140" s="275" t="e">
        <f>IF(C2140="",NA(),MATCH($B2140&amp;$C2140,'Smelter Look-up'!$J:$J,0))</f>
        <v>#N/A</v>
      </c>
      <c r="W2140" s="276"/>
      <c r="X2140" s="276">
        <f t="shared" ref="X2140:X2170" ca="1" si="304">IF(AND(C2140="Smelter not listed",OR(LEN(D2140)=0,LEN(E2140)=0)),1,0)</f>
        <v>0</v>
      </c>
      <c r="Y2140" s="276"/>
      <c r="Z2140" s="276"/>
      <c r="AB2140" s="278" t="str">
        <f t="shared" ref="AB2140:AB2170" si="305">B2140&amp;C2140</f>
        <v/>
      </c>
    </row>
    <row r="2141" spans="1:28" s="277" customFormat="1" ht="20.25">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303"/>
        <v/>
      </c>
      <c r="T2141" s="225" t="str">
        <f ca="1">IF(B2141="","",IF(ISERROR(MATCH($J2141,SorP!$B$1:$B$6230,0)),"",INDIRECT("'SorP'!$A$"&amp;MATCH($J2141,SorP!$B$1:$B$6230,0))))</f>
        <v/>
      </c>
      <c r="U2141" s="241"/>
      <c r="V2141" s="275" t="e">
        <f>IF(C2141="",NA(),MATCH($B2141&amp;$C2141,'Smelter Look-up'!$J:$J,0))</f>
        <v>#N/A</v>
      </c>
      <c r="W2141" s="276"/>
      <c r="X2141" s="276">
        <f t="shared" ca="1" si="304"/>
        <v>0</v>
      </c>
      <c r="Y2141" s="276"/>
      <c r="Z2141" s="276"/>
      <c r="AB2141" s="278" t="str">
        <f t="shared" si="305"/>
        <v/>
      </c>
    </row>
    <row r="2142" spans="1:28" s="277" customFormat="1" ht="20.25">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303"/>
        <v/>
      </c>
      <c r="T2142" s="225" t="str">
        <f ca="1">IF(B2142="","",IF(ISERROR(MATCH($J2142,SorP!$B$1:$B$6230,0)),"",INDIRECT("'SorP'!$A$"&amp;MATCH($J2142,SorP!$B$1:$B$6230,0))))</f>
        <v/>
      </c>
      <c r="U2142" s="241"/>
      <c r="V2142" s="275" t="e">
        <f>IF(C2142="",NA(),MATCH($B2142&amp;$C2142,'Smelter Look-up'!$J:$J,0))</f>
        <v>#N/A</v>
      </c>
      <c r="W2142" s="276"/>
      <c r="X2142" s="276">
        <f t="shared" ca="1" si="304"/>
        <v>0</v>
      </c>
      <c r="Y2142" s="276"/>
      <c r="Z2142" s="276"/>
      <c r="AB2142" s="278" t="str">
        <f t="shared" si="305"/>
        <v/>
      </c>
    </row>
    <row r="2143" spans="1:28" s="277" customFormat="1" ht="20.25">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303"/>
        <v/>
      </c>
      <c r="T2143" s="225" t="str">
        <f ca="1">IF(B2143="","",IF(ISERROR(MATCH($J2143,SorP!$B$1:$B$6230,0)),"",INDIRECT("'SorP'!$A$"&amp;MATCH($J2143,SorP!$B$1:$B$6230,0))))</f>
        <v/>
      </c>
      <c r="U2143" s="241"/>
      <c r="V2143" s="275" t="e">
        <f>IF(C2143="",NA(),MATCH($B2143&amp;$C2143,'Smelter Look-up'!$J:$J,0))</f>
        <v>#N/A</v>
      </c>
      <c r="W2143" s="276"/>
      <c r="X2143" s="276">
        <f t="shared" ca="1" si="304"/>
        <v>0</v>
      </c>
      <c r="Y2143" s="276"/>
      <c r="Z2143" s="276"/>
      <c r="AB2143" s="278" t="str">
        <f t="shared" si="305"/>
        <v/>
      </c>
    </row>
    <row r="2144" spans="1:28" s="277" customFormat="1" ht="20.25">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303"/>
        <v/>
      </c>
      <c r="T2144" s="225" t="str">
        <f ca="1">IF(B2144="","",IF(ISERROR(MATCH($J2144,SorP!$B$1:$B$6230,0)),"",INDIRECT("'SorP'!$A$"&amp;MATCH($J2144,SorP!$B$1:$B$6230,0))))</f>
        <v/>
      </c>
      <c r="U2144" s="241"/>
      <c r="V2144" s="275" t="e">
        <f>IF(C2144="",NA(),MATCH($B2144&amp;$C2144,'Smelter Look-up'!$J:$J,0))</f>
        <v>#N/A</v>
      </c>
      <c r="W2144" s="276"/>
      <c r="X2144" s="276">
        <f t="shared" ca="1" si="304"/>
        <v>0</v>
      </c>
      <c r="Y2144" s="276"/>
      <c r="Z2144" s="276"/>
      <c r="AB2144" s="278" t="str">
        <f t="shared" si="305"/>
        <v/>
      </c>
    </row>
    <row r="2145" spans="1:28" s="277" customFormat="1" ht="20.25">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303"/>
        <v/>
      </c>
      <c r="T2145" s="225" t="str">
        <f ca="1">IF(B2145="","",IF(ISERROR(MATCH($J2145,SorP!$B$1:$B$6230,0)),"",INDIRECT("'SorP'!$A$"&amp;MATCH($J2145,SorP!$B$1:$B$6230,0))))</f>
        <v/>
      </c>
      <c r="U2145" s="241"/>
      <c r="V2145" s="275" t="e">
        <f>IF(C2145="",NA(),MATCH($B2145&amp;$C2145,'Smelter Look-up'!$J:$J,0))</f>
        <v>#N/A</v>
      </c>
      <c r="W2145" s="276"/>
      <c r="X2145" s="276">
        <f t="shared" ca="1" si="304"/>
        <v>0</v>
      </c>
      <c r="Y2145" s="276"/>
      <c r="Z2145" s="276"/>
      <c r="AB2145" s="278" t="str">
        <f t="shared" si="305"/>
        <v/>
      </c>
    </row>
    <row r="2146" spans="1:28" s="277" customFormat="1" ht="20.25">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303"/>
        <v/>
      </c>
      <c r="T2146" s="225" t="str">
        <f ca="1">IF(B2146="","",IF(ISERROR(MATCH($J2146,SorP!$B$1:$B$6230,0)),"",INDIRECT("'SorP'!$A$"&amp;MATCH($J2146,SorP!$B$1:$B$6230,0))))</f>
        <v/>
      </c>
      <c r="U2146" s="241"/>
      <c r="V2146" s="275" t="e">
        <f>IF(C2146="",NA(),MATCH($B2146&amp;$C2146,'Smelter Look-up'!$J:$J,0))</f>
        <v>#N/A</v>
      </c>
      <c r="W2146" s="276"/>
      <c r="X2146" s="276">
        <f t="shared" ca="1" si="304"/>
        <v>0</v>
      </c>
      <c r="Y2146" s="276"/>
      <c r="Z2146" s="276"/>
      <c r="AB2146" s="278" t="str">
        <f t="shared" si="305"/>
        <v/>
      </c>
    </row>
    <row r="2147" spans="1:28" s="277" customFormat="1" ht="20.25">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303"/>
        <v/>
      </c>
      <c r="T2147" s="225" t="str">
        <f ca="1">IF(B2147="","",IF(ISERROR(MATCH($J2147,SorP!$B$1:$B$6230,0)),"",INDIRECT("'SorP'!$A$"&amp;MATCH($J2147,SorP!$B$1:$B$6230,0))))</f>
        <v/>
      </c>
      <c r="U2147" s="241"/>
      <c r="V2147" s="275" t="e">
        <f>IF(C2147="",NA(),MATCH($B2147&amp;$C2147,'Smelter Look-up'!$J:$J,0))</f>
        <v>#N/A</v>
      </c>
      <c r="W2147" s="276"/>
      <c r="X2147" s="276">
        <f t="shared" ca="1" si="304"/>
        <v>0</v>
      </c>
      <c r="Y2147" s="276"/>
      <c r="Z2147" s="276"/>
      <c r="AB2147" s="278" t="str">
        <f t="shared" si="305"/>
        <v/>
      </c>
    </row>
    <row r="2148" spans="1:28" s="277" customFormat="1" ht="20.25">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303"/>
        <v/>
      </c>
      <c r="T2148" s="225" t="str">
        <f ca="1">IF(B2148="","",IF(ISERROR(MATCH($J2148,SorP!$B$1:$B$6230,0)),"",INDIRECT("'SorP'!$A$"&amp;MATCH($J2148,SorP!$B$1:$B$6230,0))))</f>
        <v/>
      </c>
      <c r="U2148" s="241"/>
      <c r="V2148" s="275" t="e">
        <f>IF(C2148="",NA(),MATCH($B2148&amp;$C2148,'Smelter Look-up'!$J:$J,0))</f>
        <v>#N/A</v>
      </c>
      <c r="W2148" s="276"/>
      <c r="X2148" s="276">
        <f t="shared" ca="1" si="304"/>
        <v>0</v>
      </c>
      <c r="Y2148" s="276"/>
      <c r="Z2148" s="276"/>
      <c r="AB2148" s="278" t="str">
        <f t="shared" si="305"/>
        <v/>
      </c>
    </row>
    <row r="2149" spans="1:28" s="277" customFormat="1" ht="20.25">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303"/>
        <v/>
      </c>
      <c r="T2149" s="225" t="str">
        <f ca="1">IF(B2149="","",IF(ISERROR(MATCH($J2149,SorP!$B$1:$B$6230,0)),"",INDIRECT("'SorP'!$A$"&amp;MATCH($J2149,SorP!$B$1:$B$6230,0))))</f>
        <v/>
      </c>
      <c r="U2149" s="241"/>
      <c r="V2149" s="275" t="e">
        <f>IF(C2149="",NA(),MATCH($B2149&amp;$C2149,'Smelter Look-up'!$J:$J,0))</f>
        <v>#N/A</v>
      </c>
      <c r="W2149" s="276"/>
      <c r="X2149" s="276">
        <f t="shared" ca="1" si="304"/>
        <v>0</v>
      </c>
      <c r="Y2149" s="276"/>
      <c r="Z2149" s="276"/>
      <c r="AB2149" s="278" t="str">
        <f t="shared" si="305"/>
        <v/>
      </c>
    </row>
    <row r="2150" spans="1:28" s="277" customFormat="1" ht="20.25">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303"/>
        <v/>
      </c>
      <c r="T2150" s="225" t="str">
        <f ca="1">IF(B2150="","",IF(ISERROR(MATCH($J2150,SorP!$B$1:$B$6230,0)),"",INDIRECT("'SorP'!$A$"&amp;MATCH($J2150,SorP!$B$1:$B$6230,0))))</f>
        <v/>
      </c>
      <c r="U2150" s="241"/>
      <c r="V2150" s="275" t="e">
        <f>IF(C2150="",NA(),MATCH($B2150&amp;$C2150,'Smelter Look-up'!$J:$J,0))</f>
        <v>#N/A</v>
      </c>
      <c r="W2150" s="276"/>
      <c r="X2150" s="276">
        <f t="shared" ca="1" si="304"/>
        <v>0</v>
      </c>
      <c r="Y2150" s="276"/>
      <c r="Z2150" s="276"/>
      <c r="AB2150" s="278" t="str">
        <f t="shared" si="305"/>
        <v/>
      </c>
    </row>
    <row r="2151" spans="1:28" s="277" customFormat="1" ht="20.25">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303"/>
        <v/>
      </c>
      <c r="T2151" s="225" t="str">
        <f ca="1">IF(B2151="","",IF(ISERROR(MATCH($J2151,SorP!$B$1:$B$6230,0)),"",INDIRECT("'SorP'!$A$"&amp;MATCH($J2151,SorP!$B$1:$B$6230,0))))</f>
        <v/>
      </c>
      <c r="U2151" s="241"/>
      <c r="V2151" s="275" t="e">
        <f>IF(C2151="",NA(),MATCH($B2151&amp;$C2151,'Smelter Look-up'!$J:$J,0))</f>
        <v>#N/A</v>
      </c>
      <c r="W2151" s="276"/>
      <c r="X2151" s="276">
        <f t="shared" ca="1" si="304"/>
        <v>0</v>
      </c>
      <c r="Y2151" s="276"/>
      <c r="Z2151" s="276"/>
      <c r="AB2151" s="278" t="str">
        <f t="shared" si="305"/>
        <v/>
      </c>
    </row>
    <row r="2152" spans="1:28" s="277" customFormat="1" ht="20.25">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303"/>
        <v/>
      </c>
      <c r="T2152" s="225" t="str">
        <f ca="1">IF(B2152="","",IF(ISERROR(MATCH($J2152,SorP!$B$1:$B$6230,0)),"",INDIRECT("'SorP'!$A$"&amp;MATCH($J2152,SorP!$B$1:$B$6230,0))))</f>
        <v/>
      </c>
      <c r="U2152" s="241"/>
      <c r="V2152" s="275" t="e">
        <f>IF(C2152="",NA(),MATCH($B2152&amp;$C2152,'Smelter Look-up'!$J:$J,0))</f>
        <v>#N/A</v>
      </c>
      <c r="W2152" s="276"/>
      <c r="X2152" s="276">
        <f t="shared" ca="1" si="304"/>
        <v>0</v>
      </c>
      <c r="Y2152" s="276"/>
      <c r="Z2152" s="276"/>
      <c r="AB2152" s="278" t="str">
        <f t="shared" si="305"/>
        <v/>
      </c>
    </row>
    <row r="2153" spans="1:28" s="277" customFormat="1" ht="20.25">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303"/>
        <v/>
      </c>
      <c r="T2153" s="225" t="str">
        <f ca="1">IF(B2153="","",IF(ISERROR(MATCH($J2153,SorP!$B$1:$B$6230,0)),"",INDIRECT("'SorP'!$A$"&amp;MATCH($J2153,SorP!$B$1:$B$6230,0))))</f>
        <v/>
      </c>
      <c r="U2153" s="241"/>
      <c r="V2153" s="275" t="e">
        <f>IF(C2153="",NA(),MATCH($B2153&amp;$C2153,'Smelter Look-up'!$J:$J,0))</f>
        <v>#N/A</v>
      </c>
      <c r="W2153" s="276"/>
      <c r="X2153" s="276">
        <f t="shared" ca="1" si="304"/>
        <v>0</v>
      </c>
      <c r="Y2153" s="276"/>
      <c r="Z2153" s="276"/>
      <c r="AB2153" s="278" t="str">
        <f t="shared" si="305"/>
        <v/>
      </c>
    </row>
    <row r="2154" spans="1:28" s="277" customFormat="1" ht="20.25">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303"/>
        <v/>
      </c>
      <c r="T2154" s="225" t="str">
        <f ca="1">IF(B2154="","",IF(ISERROR(MATCH($J2154,SorP!$B$1:$B$6230,0)),"",INDIRECT("'SorP'!$A$"&amp;MATCH($J2154,SorP!$B$1:$B$6230,0))))</f>
        <v/>
      </c>
      <c r="U2154" s="241"/>
      <c r="V2154" s="275" t="e">
        <f>IF(C2154="",NA(),MATCH($B2154&amp;$C2154,'Smelter Look-up'!$J:$J,0))</f>
        <v>#N/A</v>
      </c>
      <c r="W2154" s="276"/>
      <c r="X2154" s="276">
        <f t="shared" ca="1" si="304"/>
        <v>0</v>
      </c>
      <c r="Y2154" s="276"/>
      <c r="Z2154" s="276"/>
      <c r="AB2154" s="278" t="str">
        <f t="shared" si="305"/>
        <v/>
      </c>
    </row>
    <row r="2155" spans="1:28" s="277" customFormat="1" ht="20.25">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303"/>
        <v/>
      </c>
      <c r="T2155" s="225" t="str">
        <f ca="1">IF(B2155="","",IF(ISERROR(MATCH($J2155,SorP!$B$1:$B$6230,0)),"",INDIRECT("'SorP'!$A$"&amp;MATCH($J2155,SorP!$B$1:$B$6230,0))))</f>
        <v/>
      </c>
      <c r="U2155" s="241"/>
      <c r="V2155" s="275" t="e">
        <f>IF(C2155="",NA(),MATCH($B2155&amp;$C2155,'Smelter Look-up'!$J:$J,0))</f>
        <v>#N/A</v>
      </c>
      <c r="W2155" s="276"/>
      <c r="X2155" s="276">
        <f t="shared" ca="1" si="304"/>
        <v>0</v>
      </c>
      <c r="Y2155" s="276"/>
      <c r="Z2155" s="276"/>
      <c r="AB2155" s="278" t="str">
        <f t="shared" si="305"/>
        <v/>
      </c>
    </row>
    <row r="2156" spans="1:28" s="277" customFormat="1" ht="20.25">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303"/>
        <v/>
      </c>
      <c r="T2156" s="225" t="str">
        <f ca="1">IF(B2156="","",IF(ISERROR(MATCH($J2156,SorP!$B$1:$B$6230,0)),"",INDIRECT("'SorP'!$A$"&amp;MATCH($J2156,SorP!$B$1:$B$6230,0))))</f>
        <v/>
      </c>
      <c r="U2156" s="241"/>
      <c r="V2156" s="275" t="e">
        <f>IF(C2156="",NA(),MATCH($B2156&amp;$C2156,'Smelter Look-up'!$J:$J,0))</f>
        <v>#N/A</v>
      </c>
      <c r="W2156" s="276"/>
      <c r="X2156" s="276">
        <f t="shared" ca="1" si="304"/>
        <v>0</v>
      </c>
      <c r="Y2156" s="276"/>
      <c r="Z2156" s="276"/>
      <c r="AB2156" s="278" t="str">
        <f t="shared" si="305"/>
        <v/>
      </c>
    </row>
    <row r="2157" spans="1:28" s="277" customFormat="1" ht="20.25">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303"/>
        <v/>
      </c>
      <c r="T2157" s="225" t="str">
        <f ca="1">IF(B2157="","",IF(ISERROR(MATCH($J2157,SorP!$B$1:$B$6230,0)),"",INDIRECT("'SorP'!$A$"&amp;MATCH($J2157,SorP!$B$1:$B$6230,0))))</f>
        <v/>
      </c>
      <c r="U2157" s="241"/>
      <c r="V2157" s="275" t="e">
        <f>IF(C2157="",NA(),MATCH($B2157&amp;$C2157,'Smelter Look-up'!$J:$J,0))</f>
        <v>#N/A</v>
      </c>
      <c r="W2157" s="276"/>
      <c r="X2157" s="276">
        <f t="shared" ca="1" si="304"/>
        <v>0</v>
      </c>
      <c r="Y2157" s="276"/>
      <c r="Z2157" s="276"/>
      <c r="AB2157" s="278" t="str">
        <f t="shared" si="305"/>
        <v/>
      </c>
    </row>
    <row r="2158" spans="1:28" s="277" customFormat="1" ht="20.25">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303"/>
        <v/>
      </c>
      <c r="T2158" s="225" t="str">
        <f ca="1">IF(B2158="","",IF(ISERROR(MATCH($J2158,SorP!$B$1:$B$6230,0)),"",INDIRECT("'SorP'!$A$"&amp;MATCH($J2158,SorP!$B$1:$B$6230,0))))</f>
        <v/>
      </c>
      <c r="U2158" s="241"/>
      <c r="V2158" s="275" t="e">
        <f>IF(C2158="",NA(),MATCH($B2158&amp;$C2158,'Smelter Look-up'!$J:$J,0))</f>
        <v>#N/A</v>
      </c>
      <c r="W2158" s="276"/>
      <c r="X2158" s="276">
        <f t="shared" ca="1" si="304"/>
        <v>0</v>
      </c>
      <c r="Y2158" s="276"/>
      <c r="Z2158" s="276"/>
      <c r="AB2158" s="278" t="str">
        <f t="shared" si="305"/>
        <v/>
      </c>
    </row>
    <row r="2159" spans="1:28" s="277" customFormat="1" ht="20.25">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303"/>
        <v/>
      </c>
      <c r="T2159" s="225" t="str">
        <f ca="1">IF(B2159="","",IF(ISERROR(MATCH($J2159,SorP!$B$1:$B$6230,0)),"",INDIRECT("'SorP'!$A$"&amp;MATCH($J2159,SorP!$B$1:$B$6230,0))))</f>
        <v/>
      </c>
      <c r="U2159" s="241"/>
      <c r="V2159" s="275" t="e">
        <f>IF(C2159="",NA(),MATCH($B2159&amp;$C2159,'Smelter Look-up'!$J:$J,0))</f>
        <v>#N/A</v>
      </c>
      <c r="W2159" s="276"/>
      <c r="X2159" s="276">
        <f t="shared" ca="1" si="304"/>
        <v>0</v>
      </c>
      <c r="Y2159" s="276"/>
      <c r="Z2159" s="276"/>
      <c r="AB2159" s="278" t="str">
        <f t="shared" si="305"/>
        <v/>
      </c>
    </row>
    <row r="2160" spans="1:28" s="277" customFormat="1" ht="20.25">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303"/>
        <v/>
      </c>
      <c r="T2160" s="225" t="str">
        <f ca="1">IF(B2160="","",IF(ISERROR(MATCH($J2160,SorP!$B$1:$B$6230,0)),"",INDIRECT("'SorP'!$A$"&amp;MATCH($J2160,SorP!$B$1:$B$6230,0))))</f>
        <v/>
      </c>
      <c r="U2160" s="241"/>
      <c r="V2160" s="275" t="e">
        <f>IF(C2160="",NA(),MATCH($B2160&amp;$C2160,'Smelter Look-up'!$J:$J,0))</f>
        <v>#N/A</v>
      </c>
      <c r="W2160" s="276"/>
      <c r="X2160" s="276">
        <f t="shared" ca="1" si="304"/>
        <v>0</v>
      </c>
      <c r="Y2160" s="276"/>
      <c r="Z2160" s="276"/>
      <c r="AB2160" s="278" t="str">
        <f t="shared" si="305"/>
        <v/>
      </c>
    </row>
    <row r="2161" spans="1:28" s="277" customFormat="1" ht="20.25">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303"/>
        <v/>
      </c>
      <c r="T2161" s="225" t="str">
        <f ca="1">IF(B2161="","",IF(ISERROR(MATCH($J2161,SorP!$B$1:$B$6230,0)),"",INDIRECT("'SorP'!$A$"&amp;MATCH($J2161,SorP!$B$1:$B$6230,0))))</f>
        <v/>
      </c>
      <c r="U2161" s="241"/>
      <c r="V2161" s="275" t="e">
        <f>IF(C2161="",NA(),MATCH($B2161&amp;$C2161,'Smelter Look-up'!$J:$J,0))</f>
        <v>#N/A</v>
      </c>
      <c r="W2161" s="276"/>
      <c r="X2161" s="276">
        <f t="shared" ca="1" si="304"/>
        <v>0</v>
      </c>
      <c r="Y2161" s="276"/>
      <c r="Z2161" s="276"/>
      <c r="AB2161" s="278" t="str">
        <f t="shared" si="305"/>
        <v/>
      </c>
    </row>
    <row r="2162" spans="1:28" s="277" customFormat="1" ht="20.25">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303"/>
        <v/>
      </c>
      <c r="T2162" s="225" t="str">
        <f ca="1">IF(B2162="","",IF(ISERROR(MATCH($J2162,SorP!$B$1:$B$6230,0)),"",INDIRECT("'SorP'!$A$"&amp;MATCH($J2162,SorP!$B$1:$B$6230,0))))</f>
        <v/>
      </c>
      <c r="U2162" s="241"/>
      <c r="V2162" s="275" t="e">
        <f>IF(C2162="",NA(),MATCH($B2162&amp;$C2162,'Smelter Look-up'!$J:$J,0))</f>
        <v>#N/A</v>
      </c>
      <c r="W2162" s="276"/>
      <c r="X2162" s="276">
        <f t="shared" ca="1" si="304"/>
        <v>0</v>
      </c>
      <c r="Y2162" s="276"/>
      <c r="Z2162" s="276"/>
      <c r="AB2162" s="278" t="str">
        <f t="shared" si="305"/>
        <v/>
      </c>
    </row>
    <row r="2163" spans="1:28" s="277" customFormat="1" ht="20.25">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303"/>
        <v/>
      </c>
      <c r="T2163" s="225" t="str">
        <f ca="1">IF(B2163="","",IF(ISERROR(MATCH($J2163,SorP!$B$1:$B$6230,0)),"",INDIRECT("'SorP'!$A$"&amp;MATCH($J2163,SorP!$B$1:$B$6230,0))))</f>
        <v/>
      </c>
      <c r="U2163" s="241"/>
      <c r="V2163" s="275" t="e">
        <f>IF(C2163="",NA(),MATCH($B2163&amp;$C2163,'Smelter Look-up'!$J:$J,0))</f>
        <v>#N/A</v>
      </c>
      <c r="W2163" s="276"/>
      <c r="X2163" s="276">
        <f t="shared" ca="1" si="304"/>
        <v>0</v>
      </c>
      <c r="Y2163" s="276"/>
      <c r="Z2163" s="276"/>
      <c r="AB2163" s="278" t="str">
        <f t="shared" si="305"/>
        <v/>
      </c>
    </row>
    <row r="2164" spans="1:28" s="277" customFormat="1" ht="20.25">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303"/>
        <v/>
      </c>
      <c r="T2164" s="225" t="str">
        <f ca="1">IF(B2164="","",IF(ISERROR(MATCH($J2164,SorP!$B$1:$B$6230,0)),"",INDIRECT("'SorP'!$A$"&amp;MATCH($J2164,SorP!$B$1:$B$6230,0))))</f>
        <v/>
      </c>
      <c r="U2164" s="241"/>
      <c r="V2164" s="275" t="e">
        <f>IF(C2164="",NA(),MATCH($B2164&amp;$C2164,'Smelter Look-up'!$J:$J,0))</f>
        <v>#N/A</v>
      </c>
      <c r="W2164" s="276"/>
      <c r="X2164" s="276">
        <f t="shared" ca="1" si="304"/>
        <v>0</v>
      </c>
      <c r="Y2164" s="276"/>
      <c r="Z2164" s="276"/>
      <c r="AB2164" s="278" t="str">
        <f t="shared" si="305"/>
        <v/>
      </c>
    </row>
    <row r="2165" spans="1:28" s="277" customFormat="1" ht="20.25">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303"/>
        <v/>
      </c>
      <c r="T2165" s="225" t="str">
        <f ca="1">IF(B2165="","",IF(ISERROR(MATCH($J2165,SorP!$B$1:$B$6230,0)),"",INDIRECT("'SorP'!$A$"&amp;MATCH($J2165,SorP!$B$1:$B$6230,0))))</f>
        <v/>
      </c>
      <c r="U2165" s="241"/>
      <c r="V2165" s="275" t="e">
        <f>IF(C2165="",NA(),MATCH($B2165&amp;$C2165,'Smelter Look-up'!$J:$J,0))</f>
        <v>#N/A</v>
      </c>
      <c r="W2165" s="276"/>
      <c r="X2165" s="276">
        <f t="shared" ca="1" si="304"/>
        <v>0</v>
      </c>
      <c r="Y2165" s="276"/>
      <c r="Z2165" s="276"/>
      <c r="AB2165" s="278" t="str">
        <f t="shared" si="305"/>
        <v/>
      </c>
    </row>
    <row r="2166" spans="1:28" s="277" customFormat="1" ht="20.25">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303"/>
        <v/>
      </c>
      <c r="T2166" s="225" t="str">
        <f ca="1">IF(B2166="","",IF(ISERROR(MATCH($J2166,SorP!$B$1:$B$6230,0)),"",INDIRECT("'SorP'!$A$"&amp;MATCH($J2166,SorP!$B$1:$B$6230,0))))</f>
        <v/>
      </c>
      <c r="U2166" s="241"/>
      <c r="V2166" s="275" t="e">
        <f>IF(C2166="",NA(),MATCH($B2166&amp;$C2166,'Smelter Look-up'!$J:$J,0))</f>
        <v>#N/A</v>
      </c>
      <c r="W2166" s="276"/>
      <c r="X2166" s="276">
        <f t="shared" ca="1" si="304"/>
        <v>0</v>
      </c>
      <c r="Y2166" s="276"/>
      <c r="Z2166" s="276"/>
      <c r="AB2166" s="278" t="str">
        <f t="shared" si="305"/>
        <v/>
      </c>
    </row>
    <row r="2167" spans="1:28" s="277" customFormat="1" ht="20.25">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303"/>
        <v/>
      </c>
      <c r="T2167" s="225" t="str">
        <f ca="1">IF(B2167="","",IF(ISERROR(MATCH($J2167,SorP!$B$1:$B$6230,0)),"",INDIRECT("'SorP'!$A$"&amp;MATCH($J2167,SorP!$B$1:$B$6230,0))))</f>
        <v/>
      </c>
      <c r="U2167" s="241"/>
      <c r="V2167" s="275" t="e">
        <f>IF(C2167="",NA(),MATCH($B2167&amp;$C2167,'Smelter Look-up'!$J:$J,0))</f>
        <v>#N/A</v>
      </c>
      <c r="W2167" s="276"/>
      <c r="X2167" s="276">
        <f t="shared" ca="1" si="304"/>
        <v>0</v>
      </c>
      <c r="Y2167" s="276"/>
      <c r="Z2167" s="276"/>
      <c r="AB2167" s="278" t="str">
        <f t="shared" si="305"/>
        <v/>
      </c>
    </row>
    <row r="2168" spans="1:28" s="277" customFormat="1" ht="20.25">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303"/>
        <v/>
      </c>
      <c r="T2168" s="225" t="str">
        <f ca="1">IF(B2168="","",IF(ISERROR(MATCH($J2168,SorP!$B$1:$B$6230,0)),"",INDIRECT("'SorP'!$A$"&amp;MATCH($J2168,SorP!$B$1:$B$6230,0))))</f>
        <v/>
      </c>
      <c r="U2168" s="241"/>
      <c r="V2168" s="275" t="e">
        <f>IF(C2168="",NA(),MATCH($B2168&amp;$C2168,'Smelter Look-up'!$J:$J,0))</f>
        <v>#N/A</v>
      </c>
      <c r="W2168" s="276"/>
      <c r="X2168" s="276">
        <f t="shared" ca="1" si="304"/>
        <v>0</v>
      </c>
      <c r="Y2168" s="276"/>
      <c r="Z2168" s="276"/>
      <c r="AB2168" s="278" t="str">
        <f t="shared" si="305"/>
        <v/>
      </c>
    </row>
    <row r="2169" spans="1:28" s="277" customFormat="1" ht="20.25">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303"/>
        <v/>
      </c>
      <c r="T2169" s="225" t="str">
        <f ca="1">IF(B2169="","",IF(ISERROR(MATCH($J2169,SorP!$B$1:$B$6230,0)),"",INDIRECT("'SorP'!$A$"&amp;MATCH($J2169,SorP!$B$1:$B$6230,0))))</f>
        <v/>
      </c>
      <c r="U2169" s="241"/>
      <c r="V2169" s="275" t="e">
        <f>IF(C2169="",NA(),MATCH($B2169&amp;$C2169,'Smelter Look-up'!$J:$J,0))</f>
        <v>#N/A</v>
      </c>
      <c r="W2169" s="276"/>
      <c r="X2169" s="276">
        <f t="shared" ca="1" si="304"/>
        <v>0</v>
      </c>
      <c r="Y2169" s="276"/>
      <c r="Z2169" s="276"/>
      <c r="AB2169" s="278" t="str">
        <f t="shared" si="305"/>
        <v/>
      </c>
    </row>
    <row r="2170" spans="1:28" s="277" customFormat="1" ht="20.25">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303"/>
        <v/>
      </c>
      <c r="T2170" s="225" t="str">
        <f ca="1">IF(B2170="","",IF(ISERROR(MATCH($J2170,SorP!$B$1:$B$6230,0)),"",INDIRECT("'SorP'!$A$"&amp;MATCH($J2170,SorP!$B$1:$B$6230,0))))</f>
        <v/>
      </c>
      <c r="U2170" s="241"/>
      <c r="V2170" s="275" t="e">
        <f>IF(C2170="",NA(),MATCH($B2170&amp;$C2170,'Smelter Look-up'!$J:$J,0))</f>
        <v>#N/A</v>
      </c>
      <c r="W2170" s="276"/>
      <c r="X2170" s="276">
        <f t="shared" ca="1" si="304"/>
        <v>0</v>
      </c>
      <c r="Y2170" s="276"/>
      <c r="Z2170" s="276"/>
      <c r="AB2170" s="278" t="str">
        <f t="shared" si="305"/>
        <v/>
      </c>
    </row>
    <row r="2171" spans="1:28" s="277" customFormat="1" ht="20.25">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ref="S2171" ca="1" si="306">IF(B2171="","",IF(ISERROR(MATCH($E2171,CL,0)),"Unknown",INDIRECT("'C'!$A$"&amp;MATCH($E2171,CL,0)+1)))</f>
        <v/>
      </c>
      <c r="T2171" s="225" t="str">
        <f ca="1">IF(B2171="","",IF(ISERROR(MATCH($J2171,SorP!$B$1:$B$6230,0)),"",INDIRECT("'SorP'!$A$"&amp;MATCH($J2171,SorP!$B$1:$B$6230,0))))</f>
        <v/>
      </c>
      <c r="U2171" s="241"/>
      <c r="V2171" s="275" t="e">
        <f>IF(C2171="",NA(),MATCH($B2171&amp;$C2171,'Smelter Look-up'!$J:$J,0))</f>
        <v>#N/A</v>
      </c>
      <c r="W2171" s="276"/>
      <c r="X2171" s="276">
        <f t="shared" ref="X2171" ca="1" si="307">IF(AND(C2171="Smelter not listed",OR(LEN(D2171)=0,LEN(E2171)=0)),1,0)</f>
        <v>0</v>
      </c>
      <c r="Y2171" s="276"/>
      <c r="Z2171" s="276"/>
      <c r="AB2171" s="278" t="str">
        <f t="shared" ref="AB2171" si="308">B2171&amp;C2171</f>
        <v/>
      </c>
    </row>
    <row r="2172" spans="1:28" s="277" customFormat="1" ht="20.25">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ref="S2172:S2203" ca="1" si="309">IF(B2172="","",IF(ISERROR(MATCH($E2172,CL,0)),"Unknown",INDIRECT("'C'!$A$"&amp;MATCH($E2172,CL,0)+1)))</f>
        <v/>
      </c>
      <c r="T2172" s="225" t="str">
        <f ca="1">IF(B2172="","",IF(ISERROR(MATCH($J2172,SorP!$B$1:$B$6230,0)),"",INDIRECT("'SorP'!$A$"&amp;MATCH($J2172,SorP!$B$1:$B$6230,0))))</f>
        <v/>
      </c>
      <c r="U2172" s="241"/>
      <c r="V2172" s="275" t="e">
        <f>IF(C2172="",NA(),MATCH($B2172&amp;$C2172,'Smelter Look-up'!$J:$J,0))</f>
        <v>#N/A</v>
      </c>
      <c r="W2172" s="276"/>
      <c r="X2172" s="276">
        <f t="shared" ref="X2172:X2203" ca="1" si="310">IF(AND(C2172="Smelter not listed",OR(LEN(D2172)=0,LEN(E2172)=0)),1,0)</f>
        <v>0</v>
      </c>
      <c r="Y2172" s="276"/>
      <c r="Z2172" s="276"/>
      <c r="AB2172" s="278" t="str">
        <f t="shared" ref="AB2172:AB2203" si="311">B2172&amp;C2172</f>
        <v/>
      </c>
    </row>
    <row r="2173" spans="1:28" s="277" customFormat="1" ht="20.25">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09"/>
        <v/>
      </c>
      <c r="T2173" s="225" t="str">
        <f ca="1">IF(B2173="","",IF(ISERROR(MATCH($J2173,SorP!$B$1:$B$6230,0)),"",INDIRECT("'SorP'!$A$"&amp;MATCH($J2173,SorP!$B$1:$B$6230,0))))</f>
        <v/>
      </c>
      <c r="U2173" s="241"/>
      <c r="V2173" s="275" t="e">
        <f>IF(C2173="",NA(),MATCH($B2173&amp;$C2173,'Smelter Look-up'!$J:$J,0))</f>
        <v>#N/A</v>
      </c>
      <c r="W2173" s="276"/>
      <c r="X2173" s="276">
        <f t="shared" ca="1" si="310"/>
        <v>0</v>
      </c>
      <c r="Y2173" s="276"/>
      <c r="Z2173" s="276"/>
      <c r="AB2173" s="278" t="str">
        <f t="shared" si="311"/>
        <v/>
      </c>
    </row>
    <row r="2174" spans="1:28" s="277" customFormat="1" ht="20.25">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09"/>
        <v/>
      </c>
      <c r="T2174" s="225" t="str">
        <f ca="1">IF(B2174="","",IF(ISERROR(MATCH($J2174,SorP!$B$1:$B$6230,0)),"",INDIRECT("'SorP'!$A$"&amp;MATCH($J2174,SorP!$B$1:$B$6230,0))))</f>
        <v/>
      </c>
      <c r="U2174" s="241"/>
      <c r="V2174" s="275" t="e">
        <f>IF(C2174="",NA(),MATCH($B2174&amp;$C2174,'Smelter Look-up'!$J:$J,0))</f>
        <v>#N/A</v>
      </c>
      <c r="W2174" s="276"/>
      <c r="X2174" s="276">
        <f t="shared" ca="1" si="310"/>
        <v>0</v>
      </c>
      <c r="Y2174" s="276"/>
      <c r="Z2174" s="276"/>
      <c r="AB2174" s="278" t="str">
        <f t="shared" si="311"/>
        <v/>
      </c>
    </row>
    <row r="2175" spans="1:28" s="277" customFormat="1" ht="20.25">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09"/>
        <v/>
      </c>
      <c r="T2175" s="225" t="str">
        <f ca="1">IF(B2175="","",IF(ISERROR(MATCH($J2175,SorP!$B$1:$B$6230,0)),"",INDIRECT("'SorP'!$A$"&amp;MATCH($J2175,SorP!$B$1:$B$6230,0))))</f>
        <v/>
      </c>
      <c r="U2175" s="241"/>
      <c r="V2175" s="275" t="e">
        <f>IF(C2175="",NA(),MATCH($B2175&amp;$C2175,'Smelter Look-up'!$J:$J,0))</f>
        <v>#N/A</v>
      </c>
      <c r="W2175" s="276"/>
      <c r="X2175" s="276">
        <f t="shared" ca="1" si="310"/>
        <v>0</v>
      </c>
      <c r="Y2175" s="276"/>
      <c r="Z2175" s="276"/>
      <c r="AB2175" s="278" t="str">
        <f t="shared" si="311"/>
        <v/>
      </c>
    </row>
    <row r="2176" spans="1:28" s="277" customFormat="1" ht="20.25">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09"/>
        <v/>
      </c>
      <c r="T2176" s="225" t="str">
        <f ca="1">IF(B2176="","",IF(ISERROR(MATCH($J2176,SorP!$B$1:$B$6230,0)),"",INDIRECT("'SorP'!$A$"&amp;MATCH($J2176,SorP!$B$1:$B$6230,0))))</f>
        <v/>
      </c>
      <c r="U2176" s="241"/>
      <c r="V2176" s="275" t="e">
        <f>IF(C2176="",NA(),MATCH($B2176&amp;$C2176,'Smelter Look-up'!$J:$J,0))</f>
        <v>#N/A</v>
      </c>
      <c r="W2176" s="276"/>
      <c r="X2176" s="276">
        <f t="shared" ca="1" si="310"/>
        <v>0</v>
      </c>
      <c r="Y2176" s="276"/>
      <c r="Z2176" s="276"/>
      <c r="AB2176" s="278" t="str">
        <f t="shared" si="311"/>
        <v/>
      </c>
    </row>
    <row r="2177" spans="1:28" s="277" customFormat="1" ht="20.25">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09"/>
        <v/>
      </c>
      <c r="T2177" s="225" t="str">
        <f ca="1">IF(B2177="","",IF(ISERROR(MATCH($J2177,SorP!$B$1:$B$6230,0)),"",INDIRECT("'SorP'!$A$"&amp;MATCH($J2177,SorP!$B$1:$B$6230,0))))</f>
        <v/>
      </c>
      <c r="U2177" s="241"/>
      <c r="V2177" s="275" t="e">
        <f>IF(C2177="",NA(),MATCH($B2177&amp;$C2177,'Smelter Look-up'!$J:$J,0))</f>
        <v>#N/A</v>
      </c>
      <c r="W2177" s="276"/>
      <c r="X2177" s="276">
        <f t="shared" ca="1" si="310"/>
        <v>0</v>
      </c>
      <c r="Y2177" s="276"/>
      <c r="Z2177" s="276"/>
      <c r="AB2177" s="278" t="str">
        <f t="shared" si="311"/>
        <v/>
      </c>
    </row>
    <row r="2178" spans="1:28" s="277" customFormat="1" ht="20.25">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09"/>
        <v/>
      </c>
      <c r="T2178" s="225" t="str">
        <f ca="1">IF(B2178="","",IF(ISERROR(MATCH($J2178,SorP!$B$1:$B$6230,0)),"",INDIRECT("'SorP'!$A$"&amp;MATCH($J2178,SorP!$B$1:$B$6230,0))))</f>
        <v/>
      </c>
      <c r="U2178" s="241"/>
      <c r="V2178" s="275" t="e">
        <f>IF(C2178="",NA(),MATCH($B2178&amp;$C2178,'Smelter Look-up'!$J:$J,0))</f>
        <v>#N/A</v>
      </c>
      <c r="W2178" s="276"/>
      <c r="X2178" s="276">
        <f t="shared" ca="1" si="310"/>
        <v>0</v>
      </c>
      <c r="Y2178" s="276"/>
      <c r="Z2178" s="276"/>
      <c r="AB2178" s="278" t="str">
        <f t="shared" si="311"/>
        <v/>
      </c>
    </row>
    <row r="2179" spans="1:28" s="277" customFormat="1" ht="20.25">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09"/>
        <v/>
      </c>
      <c r="T2179" s="225" t="str">
        <f ca="1">IF(B2179="","",IF(ISERROR(MATCH($J2179,SorP!$B$1:$B$6230,0)),"",INDIRECT("'SorP'!$A$"&amp;MATCH($J2179,SorP!$B$1:$B$6230,0))))</f>
        <v/>
      </c>
      <c r="U2179" s="241"/>
      <c r="V2179" s="275" t="e">
        <f>IF(C2179="",NA(),MATCH($B2179&amp;$C2179,'Smelter Look-up'!$J:$J,0))</f>
        <v>#N/A</v>
      </c>
      <c r="W2179" s="276"/>
      <c r="X2179" s="276">
        <f t="shared" ca="1" si="310"/>
        <v>0</v>
      </c>
      <c r="Y2179" s="276"/>
      <c r="Z2179" s="276"/>
      <c r="AB2179" s="278" t="str">
        <f t="shared" si="311"/>
        <v/>
      </c>
    </row>
    <row r="2180" spans="1:28" s="277" customFormat="1" ht="20.25">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09"/>
        <v/>
      </c>
      <c r="T2180" s="225" t="str">
        <f ca="1">IF(B2180="","",IF(ISERROR(MATCH($J2180,SorP!$B$1:$B$6230,0)),"",INDIRECT("'SorP'!$A$"&amp;MATCH($J2180,SorP!$B$1:$B$6230,0))))</f>
        <v/>
      </c>
      <c r="U2180" s="241"/>
      <c r="V2180" s="275" t="e">
        <f>IF(C2180="",NA(),MATCH($B2180&amp;$C2180,'Smelter Look-up'!$J:$J,0))</f>
        <v>#N/A</v>
      </c>
      <c r="W2180" s="276"/>
      <c r="X2180" s="276">
        <f t="shared" ca="1" si="310"/>
        <v>0</v>
      </c>
      <c r="Y2180" s="276"/>
      <c r="Z2180" s="276"/>
      <c r="AB2180" s="278" t="str">
        <f t="shared" si="311"/>
        <v/>
      </c>
    </row>
    <row r="2181" spans="1:28" s="277" customFormat="1" ht="20.25">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09"/>
        <v/>
      </c>
      <c r="T2181" s="225" t="str">
        <f ca="1">IF(B2181="","",IF(ISERROR(MATCH($J2181,SorP!$B$1:$B$6230,0)),"",INDIRECT("'SorP'!$A$"&amp;MATCH($J2181,SorP!$B$1:$B$6230,0))))</f>
        <v/>
      </c>
      <c r="U2181" s="241"/>
      <c r="V2181" s="275" t="e">
        <f>IF(C2181="",NA(),MATCH($B2181&amp;$C2181,'Smelter Look-up'!$J:$J,0))</f>
        <v>#N/A</v>
      </c>
      <c r="W2181" s="276"/>
      <c r="X2181" s="276">
        <f t="shared" ca="1" si="310"/>
        <v>0</v>
      </c>
      <c r="Y2181" s="276"/>
      <c r="Z2181" s="276"/>
      <c r="AB2181" s="278" t="str">
        <f t="shared" si="311"/>
        <v/>
      </c>
    </row>
    <row r="2182" spans="1:28" s="277" customFormat="1" ht="20.25">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09"/>
        <v/>
      </c>
      <c r="T2182" s="225" t="str">
        <f ca="1">IF(B2182="","",IF(ISERROR(MATCH($J2182,SorP!$B$1:$B$6230,0)),"",INDIRECT("'SorP'!$A$"&amp;MATCH($J2182,SorP!$B$1:$B$6230,0))))</f>
        <v/>
      </c>
      <c r="U2182" s="241"/>
      <c r="V2182" s="275" t="e">
        <f>IF(C2182="",NA(),MATCH($B2182&amp;$C2182,'Smelter Look-up'!$J:$J,0))</f>
        <v>#N/A</v>
      </c>
      <c r="W2182" s="276"/>
      <c r="X2182" s="276">
        <f t="shared" ca="1" si="310"/>
        <v>0</v>
      </c>
      <c r="Y2182" s="276"/>
      <c r="Z2182" s="276"/>
      <c r="AB2182" s="278" t="str">
        <f t="shared" si="311"/>
        <v/>
      </c>
    </row>
    <row r="2183" spans="1:28" s="277" customFormat="1" ht="20.25">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09"/>
        <v/>
      </c>
      <c r="T2183" s="225" t="str">
        <f ca="1">IF(B2183="","",IF(ISERROR(MATCH($J2183,SorP!$B$1:$B$6230,0)),"",INDIRECT("'SorP'!$A$"&amp;MATCH($J2183,SorP!$B$1:$B$6230,0))))</f>
        <v/>
      </c>
      <c r="U2183" s="241"/>
      <c r="V2183" s="275" t="e">
        <f>IF(C2183="",NA(),MATCH($B2183&amp;$C2183,'Smelter Look-up'!$J:$J,0))</f>
        <v>#N/A</v>
      </c>
      <c r="W2183" s="276"/>
      <c r="X2183" s="276">
        <f t="shared" ca="1" si="310"/>
        <v>0</v>
      </c>
      <c r="Y2183" s="276"/>
      <c r="Z2183" s="276"/>
      <c r="AB2183" s="278" t="str">
        <f t="shared" si="311"/>
        <v/>
      </c>
    </row>
    <row r="2184" spans="1:28" s="277" customFormat="1" ht="20.25">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09"/>
        <v/>
      </c>
      <c r="T2184" s="225" t="str">
        <f ca="1">IF(B2184="","",IF(ISERROR(MATCH($J2184,SorP!$B$1:$B$6230,0)),"",INDIRECT("'SorP'!$A$"&amp;MATCH($J2184,SorP!$B$1:$B$6230,0))))</f>
        <v/>
      </c>
      <c r="U2184" s="241"/>
      <c r="V2184" s="275" t="e">
        <f>IF(C2184="",NA(),MATCH($B2184&amp;$C2184,'Smelter Look-up'!$J:$J,0))</f>
        <v>#N/A</v>
      </c>
      <c r="W2184" s="276"/>
      <c r="X2184" s="276">
        <f t="shared" ca="1" si="310"/>
        <v>0</v>
      </c>
      <c r="Y2184" s="276"/>
      <c r="Z2184" s="276"/>
      <c r="AB2184" s="278" t="str">
        <f t="shared" si="311"/>
        <v/>
      </c>
    </row>
    <row r="2185" spans="1:28" s="277" customFormat="1" ht="20.25">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09"/>
        <v/>
      </c>
      <c r="T2185" s="225" t="str">
        <f ca="1">IF(B2185="","",IF(ISERROR(MATCH($J2185,SorP!$B$1:$B$6230,0)),"",INDIRECT("'SorP'!$A$"&amp;MATCH($J2185,SorP!$B$1:$B$6230,0))))</f>
        <v/>
      </c>
      <c r="U2185" s="241"/>
      <c r="V2185" s="275" t="e">
        <f>IF(C2185="",NA(),MATCH($B2185&amp;$C2185,'Smelter Look-up'!$J:$J,0))</f>
        <v>#N/A</v>
      </c>
      <c r="W2185" s="276"/>
      <c r="X2185" s="276">
        <f t="shared" ca="1" si="310"/>
        <v>0</v>
      </c>
      <c r="Y2185" s="276"/>
      <c r="Z2185" s="276"/>
      <c r="AB2185" s="278" t="str">
        <f t="shared" si="311"/>
        <v/>
      </c>
    </row>
    <row r="2186" spans="1:28" s="277" customFormat="1" ht="20.25">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09"/>
        <v/>
      </c>
      <c r="T2186" s="225" t="str">
        <f ca="1">IF(B2186="","",IF(ISERROR(MATCH($J2186,SorP!$B$1:$B$6230,0)),"",INDIRECT("'SorP'!$A$"&amp;MATCH($J2186,SorP!$B$1:$B$6230,0))))</f>
        <v/>
      </c>
      <c r="U2186" s="241"/>
      <c r="V2186" s="275" t="e">
        <f>IF(C2186="",NA(),MATCH($B2186&amp;$C2186,'Smelter Look-up'!$J:$J,0))</f>
        <v>#N/A</v>
      </c>
      <c r="W2186" s="276"/>
      <c r="X2186" s="276">
        <f t="shared" ca="1" si="310"/>
        <v>0</v>
      </c>
      <c r="Y2186" s="276"/>
      <c r="Z2186" s="276"/>
      <c r="AB2186" s="278" t="str">
        <f t="shared" si="311"/>
        <v/>
      </c>
    </row>
    <row r="2187" spans="1:28" s="277" customFormat="1" ht="20.25">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09"/>
        <v/>
      </c>
      <c r="T2187" s="225" t="str">
        <f ca="1">IF(B2187="","",IF(ISERROR(MATCH($J2187,SorP!$B$1:$B$6230,0)),"",INDIRECT("'SorP'!$A$"&amp;MATCH($J2187,SorP!$B$1:$B$6230,0))))</f>
        <v/>
      </c>
      <c r="U2187" s="241"/>
      <c r="V2187" s="275" t="e">
        <f>IF(C2187="",NA(),MATCH($B2187&amp;$C2187,'Smelter Look-up'!$J:$J,0))</f>
        <v>#N/A</v>
      </c>
      <c r="W2187" s="276"/>
      <c r="X2187" s="276">
        <f t="shared" ca="1" si="310"/>
        <v>0</v>
      </c>
      <c r="Y2187" s="276"/>
      <c r="Z2187" s="276"/>
      <c r="AB2187" s="278" t="str">
        <f t="shared" si="311"/>
        <v/>
      </c>
    </row>
    <row r="2188" spans="1:28" s="277" customFormat="1" ht="20.25">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09"/>
        <v/>
      </c>
      <c r="T2188" s="225" t="str">
        <f ca="1">IF(B2188="","",IF(ISERROR(MATCH($J2188,SorP!$B$1:$B$6230,0)),"",INDIRECT("'SorP'!$A$"&amp;MATCH($J2188,SorP!$B$1:$B$6230,0))))</f>
        <v/>
      </c>
      <c r="U2188" s="241"/>
      <c r="V2188" s="275" t="e">
        <f>IF(C2188="",NA(),MATCH($B2188&amp;$C2188,'Smelter Look-up'!$J:$J,0))</f>
        <v>#N/A</v>
      </c>
      <c r="W2188" s="276"/>
      <c r="X2188" s="276">
        <f t="shared" ca="1" si="310"/>
        <v>0</v>
      </c>
      <c r="Y2188" s="276"/>
      <c r="Z2188" s="276"/>
      <c r="AB2188" s="278" t="str">
        <f t="shared" si="311"/>
        <v/>
      </c>
    </row>
    <row r="2189" spans="1:28" s="277" customFormat="1" ht="20.25">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09"/>
        <v/>
      </c>
      <c r="T2189" s="225" t="str">
        <f ca="1">IF(B2189="","",IF(ISERROR(MATCH($J2189,SorP!$B$1:$B$6230,0)),"",INDIRECT("'SorP'!$A$"&amp;MATCH($J2189,SorP!$B$1:$B$6230,0))))</f>
        <v/>
      </c>
      <c r="U2189" s="241"/>
      <c r="V2189" s="275" t="e">
        <f>IF(C2189="",NA(),MATCH($B2189&amp;$C2189,'Smelter Look-up'!$J:$J,0))</f>
        <v>#N/A</v>
      </c>
      <c r="W2189" s="276"/>
      <c r="X2189" s="276">
        <f t="shared" ca="1" si="310"/>
        <v>0</v>
      </c>
      <c r="Y2189" s="276"/>
      <c r="Z2189" s="276"/>
      <c r="AB2189" s="278" t="str">
        <f t="shared" si="311"/>
        <v/>
      </c>
    </row>
    <row r="2190" spans="1:28" s="277" customFormat="1" ht="20.25">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09"/>
        <v/>
      </c>
      <c r="T2190" s="225" t="str">
        <f ca="1">IF(B2190="","",IF(ISERROR(MATCH($J2190,SorP!$B$1:$B$6230,0)),"",INDIRECT("'SorP'!$A$"&amp;MATCH($J2190,SorP!$B$1:$B$6230,0))))</f>
        <v/>
      </c>
      <c r="U2190" s="241"/>
      <c r="V2190" s="275" t="e">
        <f>IF(C2190="",NA(),MATCH($B2190&amp;$C2190,'Smelter Look-up'!$J:$J,0))</f>
        <v>#N/A</v>
      </c>
      <c r="W2190" s="276"/>
      <c r="X2190" s="276">
        <f t="shared" ca="1" si="310"/>
        <v>0</v>
      </c>
      <c r="Y2190" s="276"/>
      <c r="Z2190" s="276"/>
      <c r="AB2190" s="278" t="str">
        <f t="shared" si="311"/>
        <v/>
      </c>
    </row>
    <row r="2191" spans="1:28" s="277" customFormat="1" ht="20.25">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09"/>
        <v/>
      </c>
      <c r="T2191" s="225" t="str">
        <f ca="1">IF(B2191="","",IF(ISERROR(MATCH($J2191,SorP!$B$1:$B$6230,0)),"",INDIRECT("'SorP'!$A$"&amp;MATCH($J2191,SorP!$B$1:$B$6230,0))))</f>
        <v/>
      </c>
      <c r="U2191" s="241"/>
      <c r="V2191" s="275" t="e">
        <f>IF(C2191="",NA(),MATCH($B2191&amp;$C2191,'Smelter Look-up'!$J:$J,0))</f>
        <v>#N/A</v>
      </c>
      <c r="W2191" s="276"/>
      <c r="X2191" s="276">
        <f t="shared" ca="1" si="310"/>
        <v>0</v>
      </c>
      <c r="Y2191" s="276"/>
      <c r="Z2191" s="276"/>
      <c r="AB2191" s="278" t="str">
        <f t="shared" si="311"/>
        <v/>
      </c>
    </row>
    <row r="2192" spans="1:28" s="277" customFormat="1" ht="20.25">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309"/>
        <v/>
      </c>
      <c r="T2192" s="225" t="str">
        <f ca="1">IF(B2192="","",IF(ISERROR(MATCH($J2192,SorP!$B$1:$B$6230,0)),"",INDIRECT("'SorP'!$A$"&amp;MATCH($J2192,SorP!$B$1:$B$6230,0))))</f>
        <v/>
      </c>
      <c r="U2192" s="241"/>
      <c r="V2192" s="275" t="e">
        <f>IF(C2192="",NA(),MATCH($B2192&amp;$C2192,'Smelter Look-up'!$J:$J,0))</f>
        <v>#N/A</v>
      </c>
      <c r="W2192" s="276"/>
      <c r="X2192" s="276">
        <f t="shared" ca="1" si="310"/>
        <v>0</v>
      </c>
      <c r="Y2192" s="276"/>
      <c r="Z2192" s="276"/>
      <c r="AB2192" s="278" t="str">
        <f t="shared" si="311"/>
        <v/>
      </c>
    </row>
    <row r="2193" spans="1:28" s="277" customFormat="1" ht="20.25">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09"/>
        <v/>
      </c>
      <c r="T2193" s="225" t="str">
        <f ca="1">IF(B2193="","",IF(ISERROR(MATCH($J2193,SorP!$B$1:$B$6230,0)),"",INDIRECT("'SorP'!$A$"&amp;MATCH($J2193,SorP!$B$1:$B$6230,0))))</f>
        <v/>
      </c>
      <c r="U2193" s="241"/>
      <c r="V2193" s="275" t="e">
        <f>IF(C2193="",NA(),MATCH($B2193&amp;$C2193,'Smelter Look-up'!$J:$J,0))</f>
        <v>#N/A</v>
      </c>
      <c r="W2193" s="276"/>
      <c r="X2193" s="276">
        <f t="shared" ca="1" si="310"/>
        <v>0</v>
      </c>
      <c r="Y2193" s="276"/>
      <c r="Z2193" s="276"/>
      <c r="AB2193" s="278" t="str">
        <f t="shared" si="311"/>
        <v/>
      </c>
    </row>
    <row r="2194" spans="1:28" s="277" customFormat="1" ht="20.25">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309"/>
        <v/>
      </c>
      <c r="T2194" s="225" t="str">
        <f ca="1">IF(B2194="","",IF(ISERROR(MATCH($J2194,SorP!$B$1:$B$6230,0)),"",INDIRECT("'SorP'!$A$"&amp;MATCH($J2194,SorP!$B$1:$B$6230,0))))</f>
        <v/>
      </c>
      <c r="U2194" s="241"/>
      <c r="V2194" s="275" t="e">
        <f>IF(C2194="",NA(),MATCH($B2194&amp;$C2194,'Smelter Look-up'!$J:$J,0))</f>
        <v>#N/A</v>
      </c>
      <c r="W2194" s="276"/>
      <c r="X2194" s="276">
        <f t="shared" ca="1" si="310"/>
        <v>0</v>
      </c>
      <c r="Y2194" s="276"/>
      <c r="Z2194" s="276"/>
      <c r="AB2194" s="278" t="str">
        <f t="shared" si="311"/>
        <v/>
      </c>
    </row>
    <row r="2195" spans="1:28" s="277" customFormat="1" ht="20.25">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09"/>
        <v/>
      </c>
      <c r="T2195" s="225" t="str">
        <f ca="1">IF(B2195="","",IF(ISERROR(MATCH($J2195,SorP!$B$1:$B$6230,0)),"",INDIRECT("'SorP'!$A$"&amp;MATCH($J2195,SorP!$B$1:$B$6230,0))))</f>
        <v/>
      </c>
      <c r="U2195" s="241"/>
      <c r="V2195" s="275" t="e">
        <f>IF(C2195="",NA(),MATCH($B2195&amp;$C2195,'Smelter Look-up'!$J:$J,0))</f>
        <v>#N/A</v>
      </c>
      <c r="W2195" s="276"/>
      <c r="X2195" s="276">
        <f t="shared" ca="1" si="310"/>
        <v>0</v>
      </c>
      <c r="Y2195" s="276"/>
      <c r="Z2195" s="276"/>
      <c r="AB2195" s="278" t="str">
        <f t="shared" si="311"/>
        <v/>
      </c>
    </row>
    <row r="2196" spans="1:28" s="277" customFormat="1" ht="20.25">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09"/>
        <v/>
      </c>
      <c r="T2196" s="225" t="str">
        <f ca="1">IF(B2196="","",IF(ISERROR(MATCH($J2196,SorP!$B$1:$B$6230,0)),"",INDIRECT("'SorP'!$A$"&amp;MATCH($J2196,SorP!$B$1:$B$6230,0))))</f>
        <v/>
      </c>
      <c r="U2196" s="241"/>
      <c r="V2196" s="275" t="e">
        <f>IF(C2196="",NA(),MATCH($B2196&amp;$C2196,'Smelter Look-up'!$J:$J,0))</f>
        <v>#N/A</v>
      </c>
      <c r="W2196" s="276"/>
      <c r="X2196" s="276">
        <f t="shared" ca="1" si="310"/>
        <v>0</v>
      </c>
      <c r="Y2196" s="276"/>
      <c r="Z2196" s="276"/>
      <c r="AB2196" s="278" t="str">
        <f t="shared" si="311"/>
        <v/>
      </c>
    </row>
    <row r="2197" spans="1:28" s="277" customFormat="1" ht="20.25">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09"/>
        <v/>
      </c>
      <c r="T2197" s="225" t="str">
        <f ca="1">IF(B2197="","",IF(ISERROR(MATCH($J2197,SorP!$B$1:$B$6230,0)),"",INDIRECT("'SorP'!$A$"&amp;MATCH($J2197,SorP!$B$1:$B$6230,0))))</f>
        <v/>
      </c>
      <c r="U2197" s="241"/>
      <c r="V2197" s="275" t="e">
        <f>IF(C2197="",NA(),MATCH($B2197&amp;$C2197,'Smelter Look-up'!$J:$J,0))</f>
        <v>#N/A</v>
      </c>
      <c r="W2197" s="276"/>
      <c r="X2197" s="276">
        <f t="shared" ca="1" si="310"/>
        <v>0</v>
      </c>
      <c r="Y2197" s="276"/>
      <c r="Z2197" s="276"/>
      <c r="AB2197" s="278" t="str">
        <f t="shared" si="311"/>
        <v/>
      </c>
    </row>
    <row r="2198" spans="1:28" s="277" customFormat="1" ht="20.25">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09"/>
        <v/>
      </c>
      <c r="T2198" s="225" t="str">
        <f ca="1">IF(B2198="","",IF(ISERROR(MATCH($J2198,SorP!$B$1:$B$6230,0)),"",INDIRECT("'SorP'!$A$"&amp;MATCH($J2198,SorP!$B$1:$B$6230,0))))</f>
        <v/>
      </c>
      <c r="U2198" s="241"/>
      <c r="V2198" s="275" t="e">
        <f>IF(C2198="",NA(),MATCH($B2198&amp;$C2198,'Smelter Look-up'!$J:$J,0))</f>
        <v>#N/A</v>
      </c>
      <c r="W2198" s="276"/>
      <c r="X2198" s="276">
        <f t="shared" ca="1" si="310"/>
        <v>0</v>
      </c>
      <c r="Y2198" s="276"/>
      <c r="Z2198" s="276"/>
      <c r="AB2198" s="278" t="str">
        <f t="shared" si="311"/>
        <v/>
      </c>
    </row>
    <row r="2199" spans="1:28" s="277" customFormat="1" ht="20.25">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09"/>
        <v/>
      </c>
      <c r="T2199" s="225" t="str">
        <f ca="1">IF(B2199="","",IF(ISERROR(MATCH($J2199,SorP!$B$1:$B$6230,0)),"",INDIRECT("'SorP'!$A$"&amp;MATCH($J2199,SorP!$B$1:$B$6230,0))))</f>
        <v/>
      </c>
      <c r="U2199" s="241"/>
      <c r="V2199" s="275" t="e">
        <f>IF(C2199="",NA(),MATCH($B2199&amp;$C2199,'Smelter Look-up'!$J:$J,0))</f>
        <v>#N/A</v>
      </c>
      <c r="W2199" s="276"/>
      <c r="X2199" s="276">
        <f t="shared" ca="1" si="310"/>
        <v>0</v>
      </c>
      <c r="Y2199" s="276"/>
      <c r="Z2199" s="276"/>
      <c r="AB2199" s="278" t="str">
        <f t="shared" si="311"/>
        <v/>
      </c>
    </row>
    <row r="2200" spans="1:28" s="277" customFormat="1" ht="20.25">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09"/>
        <v/>
      </c>
      <c r="T2200" s="225" t="str">
        <f ca="1">IF(B2200="","",IF(ISERROR(MATCH($J2200,SorP!$B$1:$B$6230,0)),"",INDIRECT("'SorP'!$A$"&amp;MATCH($J2200,SorP!$B$1:$B$6230,0))))</f>
        <v/>
      </c>
      <c r="U2200" s="241"/>
      <c r="V2200" s="275" t="e">
        <f>IF(C2200="",NA(),MATCH($B2200&amp;$C2200,'Smelter Look-up'!$J:$J,0))</f>
        <v>#N/A</v>
      </c>
      <c r="W2200" s="276"/>
      <c r="X2200" s="276">
        <f t="shared" ca="1" si="310"/>
        <v>0</v>
      </c>
      <c r="Y2200" s="276"/>
      <c r="Z2200" s="276"/>
      <c r="AB2200" s="278" t="str">
        <f t="shared" si="311"/>
        <v/>
      </c>
    </row>
    <row r="2201" spans="1:28" s="277" customFormat="1" ht="20.25">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09"/>
        <v/>
      </c>
      <c r="T2201" s="225" t="str">
        <f ca="1">IF(B2201="","",IF(ISERROR(MATCH($J2201,SorP!$B$1:$B$6230,0)),"",INDIRECT("'SorP'!$A$"&amp;MATCH($J2201,SorP!$B$1:$B$6230,0))))</f>
        <v/>
      </c>
      <c r="U2201" s="241"/>
      <c r="V2201" s="275" t="e">
        <f>IF(C2201="",NA(),MATCH($B2201&amp;$C2201,'Smelter Look-up'!$J:$J,0))</f>
        <v>#N/A</v>
      </c>
      <c r="W2201" s="276"/>
      <c r="X2201" s="276">
        <f t="shared" ca="1" si="310"/>
        <v>0</v>
      </c>
      <c r="Y2201" s="276"/>
      <c r="Z2201" s="276"/>
      <c r="AB2201" s="278" t="str">
        <f t="shared" si="311"/>
        <v/>
      </c>
    </row>
    <row r="2202" spans="1:28" s="277" customFormat="1" ht="20.25">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09"/>
        <v/>
      </c>
      <c r="T2202" s="225" t="str">
        <f ca="1">IF(B2202="","",IF(ISERROR(MATCH($J2202,SorP!$B$1:$B$6230,0)),"",INDIRECT("'SorP'!$A$"&amp;MATCH($J2202,SorP!$B$1:$B$6230,0))))</f>
        <v/>
      </c>
      <c r="U2202" s="241"/>
      <c r="V2202" s="275" t="e">
        <f>IF(C2202="",NA(),MATCH($B2202&amp;$C2202,'Smelter Look-up'!$J:$J,0))</f>
        <v>#N/A</v>
      </c>
      <c r="W2202" s="276"/>
      <c r="X2202" s="276">
        <f t="shared" ca="1" si="310"/>
        <v>0</v>
      </c>
      <c r="Y2202" s="276"/>
      <c r="Z2202" s="276"/>
      <c r="AB2202" s="278" t="str">
        <f t="shared" si="311"/>
        <v/>
      </c>
    </row>
    <row r="2203" spans="1:28" s="277" customFormat="1" ht="20.25">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309"/>
        <v/>
      </c>
      <c r="T2203" s="225" t="str">
        <f ca="1">IF(B2203="","",IF(ISERROR(MATCH($J2203,SorP!$B$1:$B$6230,0)),"",INDIRECT("'SorP'!$A$"&amp;MATCH($J2203,SorP!$B$1:$B$6230,0))))</f>
        <v/>
      </c>
      <c r="U2203" s="241"/>
      <c r="V2203" s="275" t="e">
        <f>IF(C2203="",NA(),MATCH($B2203&amp;$C2203,'Smelter Look-up'!$J:$J,0))</f>
        <v>#N/A</v>
      </c>
      <c r="W2203" s="276"/>
      <c r="X2203" s="276">
        <f t="shared" ca="1" si="310"/>
        <v>0</v>
      </c>
      <c r="Y2203" s="276"/>
      <c r="Z2203" s="276"/>
      <c r="AB2203" s="278" t="str">
        <f t="shared" si="311"/>
        <v/>
      </c>
    </row>
    <row r="2204" spans="1:28" s="277" customFormat="1" ht="20.25">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ref="S2204:S2234" ca="1" si="312">IF(B2204="","",IF(ISERROR(MATCH($E2204,CL,0)),"Unknown",INDIRECT("'C'!$A$"&amp;MATCH($E2204,CL,0)+1)))</f>
        <v/>
      </c>
      <c r="T2204" s="225" t="str">
        <f ca="1">IF(B2204="","",IF(ISERROR(MATCH($J2204,SorP!$B$1:$B$6230,0)),"",INDIRECT("'SorP'!$A$"&amp;MATCH($J2204,SorP!$B$1:$B$6230,0))))</f>
        <v/>
      </c>
      <c r="U2204" s="241"/>
      <c r="V2204" s="275" t="e">
        <f>IF(C2204="",NA(),MATCH($B2204&amp;$C2204,'Smelter Look-up'!$J:$J,0))</f>
        <v>#N/A</v>
      </c>
      <c r="W2204" s="276"/>
      <c r="X2204" s="276">
        <f t="shared" ref="X2204:X2234" ca="1" si="313">IF(AND(C2204="Smelter not listed",OR(LEN(D2204)=0,LEN(E2204)=0)),1,0)</f>
        <v>0</v>
      </c>
      <c r="Y2204" s="276"/>
      <c r="Z2204" s="276"/>
      <c r="AB2204" s="278" t="str">
        <f t="shared" ref="AB2204:AB2234" si="314">B2204&amp;C2204</f>
        <v/>
      </c>
    </row>
    <row r="2205" spans="1:28" s="277" customFormat="1" ht="20.25">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12"/>
        <v/>
      </c>
      <c r="T2205" s="225" t="str">
        <f ca="1">IF(B2205="","",IF(ISERROR(MATCH($J2205,SorP!$B$1:$B$6230,0)),"",INDIRECT("'SorP'!$A$"&amp;MATCH($J2205,SorP!$B$1:$B$6230,0))))</f>
        <v/>
      </c>
      <c r="U2205" s="241"/>
      <c r="V2205" s="275" t="e">
        <f>IF(C2205="",NA(),MATCH($B2205&amp;$C2205,'Smelter Look-up'!$J:$J,0))</f>
        <v>#N/A</v>
      </c>
      <c r="W2205" s="276"/>
      <c r="X2205" s="276">
        <f t="shared" ca="1" si="313"/>
        <v>0</v>
      </c>
      <c r="Y2205" s="276"/>
      <c r="Z2205" s="276"/>
      <c r="AB2205" s="278" t="str">
        <f t="shared" si="314"/>
        <v/>
      </c>
    </row>
    <row r="2206" spans="1:28" s="277" customFormat="1" ht="20.25">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12"/>
        <v/>
      </c>
      <c r="T2206" s="225" t="str">
        <f ca="1">IF(B2206="","",IF(ISERROR(MATCH($J2206,SorP!$B$1:$B$6230,0)),"",INDIRECT("'SorP'!$A$"&amp;MATCH($J2206,SorP!$B$1:$B$6230,0))))</f>
        <v/>
      </c>
      <c r="U2206" s="241"/>
      <c r="V2206" s="275" t="e">
        <f>IF(C2206="",NA(),MATCH($B2206&amp;$C2206,'Smelter Look-up'!$J:$J,0))</f>
        <v>#N/A</v>
      </c>
      <c r="W2206" s="276"/>
      <c r="X2206" s="276">
        <f t="shared" ca="1" si="313"/>
        <v>0</v>
      </c>
      <c r="Y2206" s="276"/>
      <c r="Z2206" s="276"/>
      <c r="AB2206" s="278" t="str">
        <f t="shared" si="314"/>
        <v/>
      </c>
    </row>
    <row r="2207" spans="1:28" s="277" customFormat="1" ht="20.25">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12"/>
        <v/>
      </c>
      <c r="T2207" s="225" t="str">
        <f ca="1">IF(B2207="","",IF(ISERROR(MATCH($J2207,SorP!$B$1:$B$6230,0)),"",INDIRECT("'SorP'!$A$"&amp;MATCH($J2207,SorP!$B$1:$B$6230,0))))</f>
        <v/>
      </c>
      <c r="U2207" s="241"/>
      <c r="V2207" s="275" t="e">
        <f>IF(C2207="",NA(),MATCH($B2207&amp;$C2207,'Smelter Look-up'!$J:$J,0))</f>
        <v>#N/A</v>
      </c>
      <c r="W2207" s="276"/>
      <c r="X2207" s="276">
        <f t="shared" ca="1" si="313"/>
        <v>0</v>
      </c>
      <c r="Y2207" s="276"/>
      <c r="Z2207" s="276"/>
      <c r="AB2207" s="278" t="str">
        <f t="shared" si="314"/>
        <v/>
      </c>
    </row>
    <row r="2208" spans="1:28" s="277" customFormat="1" ht="20.25">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12"/>
        <v/>
      </c>
      <c r="T2208" s="225" t="str">
        <f ca="1">IF(B2208="","",IF(ISERROR(MATCH($J2208,SorP!$B$1:$B$6230,0)),"",INDIRECT("'SorP'!$A$"&amp;MATCH($J2208,SorP!$B$1:$B$6230,0))))</f>
        <v/>
      </c>
      <c r="U2208" s="241"/>
      <c r="V2208" s="275" t="e">
        <f>IF(C2208="",NA(),MATCH($B2208&amp;$C2208,'Smelter Look-up'!$J:$J,0))</f>
        <v>#N/A</v>
      </c>
      <c r="W2208" s="276"/>
      <c r="X2208" s="276">
        <f t="shared" ca="1" si="313"/>
        <v>0</v>
      </c>
      <c r="Y2208" s="276"/>
      <c r="Z2208" s="276"/>
      <c r="AB2208" s="278" t="str">
        <f t="shared" si="314"/>
        <v/>
      </c>
    </row>
    <row r="2209" spans="1:28" s="277" customFormat="1" ht="20.25">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12"/>
        <v/>
      </c>
      <c r="T2209" s="225" t="str">
        <f ca="1">IF(B2209="","",IF(ISERROR(MATCH($J2209,SorP!$B$1:$B$6230,0)),"",INDIRECT("'SorP'!$A$"&amp;MATCH($J2209,SorP!$B$1:$B$6230,0))))</f>
        <v/>
      </c>
      <c r="U2209" s="241"/>
      <c r="V2209" s="275" t="e">
        <f>IF(C2209="",NA(),MATCH($B2209&amp;$C2209,'Smelter Look-up'!$J:$J,0))</f>
        <v>#N/A</v>
      </c>
      <c r="W2209" s="276"/>
      <c r="X2209" s="276">
        <f t="shared" ca="1" si="313"/>
        <v>0</v>
      </c>
      <c r="Y2209" s="276"/>
      <c r="Z2209" s="276"/>
      <c r="AB2209" s="278" t="str">
        <f t="shared" si="314"/>
        <v/>
      </c>
    </row>
    <row r="2210" spans="1:28" s="277" customFormat="1" ht="20.25">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12"/>
        <v/>
      </c>
      <c r="T2210" s="225" t="str">
        <f ca="1">IF(B2210="","",IF(ISERROR(MATCH($J2210,SorP!$B$1:$B$6230,0)),"",INDIRECT("'SorP'!$A$"&amp;MATCH($J2210,SorP!$B$1:$B$6230,0))))</f>
        <v/>
      </c>
      <c r="U2210" s="241"/>
      <c r="V2210" s="275" t="e">
        <f>IF(C2210="",NA(),MATCH($B2210&amp;$C2210,'Smelter Look-up'!$J:$J,0))</f>
        <v>#N/A</v>
      </c>
      <c r="W2210" s="276"/>
      <c r="X2210" s="276">
        <f t="shared" ca="1" si="313"/>
        <v>0</v>
      </c>
      <c r="Y2210" s="276"/>
      <c r="Z2210" s="276"/>
      <c r="AB2210" s="278" t="str">
        <f t="shared" si="314"/>
        <v/>
      </c>
    </row>
    <row r="2211" spans="1:28" s="277" customFormat="1" ht="20.25">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12"/>
        <v/>
      </c>
      <c r="T2211" s="225" t="str">
        <f ca="1">IF(B2211="","",IF(ISERROR(MATCH($J2211,SorP!$B$1:$B$6230,0)),"",INDIRECT("'SorP'!$A$"&amp;MATCH($J2211,SorP!$B$1:$B$6230,0))))</f>
        <v/>
      </c>
      <c r="U2211" s="241"/>
      <c r="V2211" s="275" t="e">
        <f>IF(C2211="",NA(),MATCH($B2211&amp;$C2211,'Smelter Look-up'!$J:$J,0))</f>
        <v>#N/A</v>
      </c>
      <c r="W2211" s="276"/>
      <c r="X2211" s="276">
        <f t="shared" ca="1" si="313"/>
        <v>0</v>
      </c>
      <c r="Y2211" s="276"/>
      <c r="Z2211" s="276"/>
      <c r="AB2211" s="278" t="str">
        <f t="shared" si="314"/>
        <v/>
      </c>
    </row>
    <row r="2212" spans="1:28" s="277" customFormat="1" ht="20.25">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12"/>
        <v/>
      </c>
      <c r="T2212" s="225" t="str">
        <f ca="1">IF(B2212="","",IF(ISERROR(MATCH($J2212,SorP!$B$1:$B$6230,0)),"",INDIRECT("'SorP'!$A$"&amp;MATCH($J2212,SorP!$B$1:$B$6230,0))))</f>
        <v/>
      </c>
      <c r="U2212" s="241"/>
      <c r="V2212" s="275" t="e">
        <f>IF(C2212="",NA(),MATCH($B2212&amp;$C2212,'Smelter Look-up'!$J:$J,0))</f>
        <v>#N/A</v>
      </c>
      <c r="W2212" s="276"/>
      <c r="X2212" s="276">
        <f t="shared" ca="1" si="313"/>
        <v>0</v>
      </c>
      <c r="Y2212" s="276"/>
      <c r="Z2212" s="276"/>
      <c r="AB2212" s="278" t="str">
        <f t="shared" si="314"/>
        <v/>
      </c>
    </row>
    <row r="2213" spans="1:28" s="277" customFormat="1" ht="20.25">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12"/>
        <v/>
      </c>
      <c r="T2213" s="225" t="str">
        <f ca="1">IF(B2213="","",IF(ISERROR(MATCH($J2213,SorP!$B$1:$B$6230,0)),"",INDIRECT("'SorP'!$A$"&amp;MATCH($J2213,SorP!$B$1:$B$6230,0))))</f>
        <v/>
      </c>
      <c r="U2213" s="241"/>
      <c r="V2213" s="275" t="e">
        <f>IF(C2213="",NA(),MATCH($B2213&amp;$C2213,'Smelter Look-up'!$J:$J,0))</f>
        <v>#N/A</v>
      </c>
      <c r="W2213" s="276"/>
      <c r="X2213" s="276">
        <f t="shared" ca="1" si="313"/>
        <v>0</v>
      </c>
      <c r="Y2213" s="276"/>
      <c r="Z2213" s="276"/>
      <c r="AB2213" s="278" t="str">
        <f t="shared" si="314"/>
        <v/>
      </c>
    </row>
    <row r="2214" spans="1:28" s="277" customFormat="1" ht="20.25">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12"/>
        <v/>
      </c>
      <c r="T2214" s="225" t="str">
        <f ca="1">IF(B2214="","",IF(ISERROR(MATCH($J2214,SorP!$B$1:$B$6230,0)),"",INDIRECT("'SorP'!$A$"&amp;MATCH($J2214,SorP!$B$1:$B$6230,0))))</f>
        <v/>
      </c>
      <c r="U2214" s="241"/>
      <c r="V2214" s="275" t="e">
        <f>IF(C2214="",NA(),MATCH($B2214&amp;$C2214,'Smelter Look-up'!$J:$J,0))</f>
        <v>#N/A</v>
      </c>
      <c r="W2214" s="276"/>
      <c r="X2214" s="276">
        <f t="shared" ca="1" si="313"/>
        <v>0</v>
      </c>
      <c r="Y2214" s="276"/>
      <c r="Z2214" s="276"/>
      <c r="AB2214" s="278" t="str">
        <f t="shared" si="314"/>
        <v/>
      </c>
    </row>
    <row r="2215" spans="1:28" s="277" customFormat="1" ht="20.25">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12"/>
        <v/>
      </c>
      <c r="T2215" s="225" t="str">
        <f ca="1">IF(B2215="","",IF(ISERROR(MATCH($J2215,SorP!$B$1:$B$6230,0)),"",INDIRECT("'SorP'!$A$"&amp;MATCH($J2215,SorP!$B$1:$B$6230,0))))</f>
        <v/>
      </c>
      <c r="U2215" s="241"/>
      <c r="V2215" s="275" t="e">
        <f>IF(C2215="",NA(),MATCH($B2215&amp;$C2215,'Smelter Look-up'!$J:$J,0))</f>
        <v>#N/A</v>
      </c>
      <c r="W2215" s="276"/>
      <c r="X2215" s="276">
        <f t="shared" ca="1" si="313"/>
        <v>0</v>
      </c>
      <c r="Y2215" s="276"/>
      <c r="Z2215" s="276"/>
      <c r="AB2215" s="278" t="str">
        <f t="shared" si="314"/>
        <v/>
      </c>
    </row>
    <row r="2216" spans="1:28" s="277" customFormat="1" ht="20.25">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12"/>
        <v/>
      </c>
      <c r="T2216" s="225" t="str">
        <f ca="1">IF(B2216="","",IF(ISERROR(MATCH($J2216,SorP!$B$1:$B$6230,0)),"",INDIRECT("'SorP'!$A$"&amp;MATCH($J2216,SorP!$B$1:$B$6230,0))))</f>
        <v/>
      </c>
      <c r="U2216" s="241"/>
      <c r="V2216" s="275" t="e">
        <f>IF(C2216="",NA(),MATCH($B2216&amp;$C2216,'Smelter Look-up'!$J:$J,0))</f>
        <v>#N/A</v>
      </c>
      <c r="W2216" s="276"/>
      <c r="X2216" s="276">
        <f t="shared" ca="1" si="313"/>
        <v>0</v>
      </c>
      <c r="Y2216" s="276"/>
      <c r="Z2216" s="276"/>
      <c r="AB2216" s="278" t="str">
        <f t="shared" si="314"/>
        <v/>
      </c>
    </row>
    <row r="2217" spans="1:28" s="277" customFormat="1" ht="20.25">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12"/>
        <v/>
      </c>
      <c r="T2217" s="225" t="str">
        <f ca="1">IF(B2217="","",IF(ISERROR(MATCH($J2217,SorP!$B$1:$B$6230,0)),"",INDIRECT("'SorP'!$A$"&amp;MATCH($J2217,SorP!$B$1:$B$6230,0))))</f>
        <v/>
      </c>
      <c r="U2217" s="241"/>
      <c r="V2217" s="275" t="e">
        <f>IF(C2217="",NA(),MATCH($B2217&amp;$C2217,'Smelter Look-up'!$J:$J,0))</f>
        <v>#N/A</v>
      </c>
      <c r="W2217" s="276"/>
      <c r="X2217" s="276">
        <f t="shared" ca="1" si="313"/>
        <v>0</v>
      </c>
      <c r="Y2217" s="276"/>
      <c r="Z2217" s="276"/>
      <c r="AB2217" s="278" t="str">
        <f t="shared" si="314"/>
        <v/>
      </c>
    </row>
    <row r="2218" spans="1:28" s="277" customFormat="1" ht="20.25">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12"/>
        <v/>
      </c>
      <c r="T2218" s="225" t="str">
        <f ca="1">IF(B2218="","",IF(ISERROR(MATCH($J2218,SorP!$B$1:$B$6230,0)),"",INDIRECT("'SorP'!$A$"&amp;MATCH($J2218,SorP!$B$1:$B$6230,0))))</f>
        <v/>
      </c>
      <c r="U2218" s="241"/>
      <c r="V2218" s="275" t="e">
        <f>IF(C2218="",NA(),MATCH($B2218&amp;$C2218,'Smelter Look-up'!$J:$J,0))</f>
        <v>#N/A</v>
      </c>
      <c r="W2218" s="276"/>
      <c r="X2218" s="276">
        <f t="shared" ca="1" si="313"/>
        <v>0</v>
      </c>
      <c r="Y2218" s="276"/>
      <c r="Z2218" s="276"/>
      <c r="AB2218" s="278" t="str">
        <f t="shared" si="314"/>
        <v/>
      </c>
    </row>
    <row r="2219" spans="1:28" s="277" customFormat="1" ht="20.25">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12"/>
        <v/>
      </c>
      <c r="T2219" s="225" t="str">
        <f ca="1">IF(B2219="","",IF(ISERROR(MATCH($J2219,SorP!$B$1:$B$6230,0)),"",INDIRECT("'SorP'!$A$"&amp;MATCH($J2219,SorP!$B$1:$B$6230,0))))</f>
        <v/>
      </c>
      <c r="U2219" s="241"/>
      <c r="V2219" s="275" t="e">
        <f>IF(C2219="",NA(),MATCH($B2219&amp;$C2219,'Smelter Look-up'!$J:$J,0))</f>
        <v>#N/A</v>
      </c>
      <c r="W2219" s="276"/>
      <c r="X2219" s="276">
        <f t="shared" ca="1" si="313"/>
        <v>0</v>
      </c>
      <c r="Y2219" s="276"/>
      <c r="Z2219" s="276"/>
      <c r="AB2219" s="278" t="str">
        <f t="shared" si="314"/>
        <v/>
      </c>
    </row>
    <row r="2220" spans="1:28" s="277" customFormat="1" ht="20.25">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12"/>
        <v/>
      </c>
      <c r="T2220" s="225" t="str">
        <f ca="1">IF(B2220="","",IF(ISERROR(MATCH($J2220,SorP!$B$1:$B$6230,0)),"",INDIRECT("'SorP'!$A$"&amp;MATCH($J2220,SorP!$B$1:$B$6230,0))))</f>
        <v/>
      </c>
      <c r="U2220" s="241"/>
      <c r="V2220" s="275" t="e">
        <f>IF(C2220="",NA(),MATCH($B2220&amp;$C2220,'Smelter Look-up'!$J:$J,0))</f>
        <v>#N/A</v>
      </c>
      <c r="W2220" s="276"/>
      <c r="X2220" s="276">
        <f t="shared" ca="1" si="313"/>
        <v>0</v>
      </c>
      <c r="Y2220" s="276"/>
      <c r="Z2220" s="276"/>
      <c r="AB2220" s="278" t="str">
        <f t="shared" si="314"/>
        <v/>
      </c>
    </row>
    <row r="2221" spans="1:28" s="277" customFormat="1" ht="20.25">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12"/>
        <v/>
      </c>
      <c r="T2221" s="225" t="str">
        <f ca="1">IF(B2221="","",IF(ISERROR(MATCH($J2221,SorP!$B$1:$B$6230,0)),"",INDIRECT("'SorP'!$A$"&amp;MATCH($J2221,SorP!$B$1:$B$6230,0))))</f>
        <v/>
      </c>
      <c r="U2221" s="241"/>
      <c r="V2221" s="275" t="e">
        <f>IF(C2221="",NA(),MATCH($B2221&amp;$C2221,'Smelter Look-up'!$J:$J,0))</f>
        <v>#N/A</v>
      </c>
      <c r="W2221" s="276"/>
      <c r="X2221" s="276">
        <f t="shared" ca="1" si="313"/>
        <v>0</v>
      </c>
      <c r="Y2221" s="276"/>
      <c r="Z2221" s="276"/>
      <c r="AB2221" s="278" t="str">
        <f t="shared" si="314"/>
        <v/>
      </c>
    </row>
    <row r="2222" spans="1:28" s="277" customFormat="1" ht="20.25">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12"/>
        <v/>
      </c>
      <c r="T2222" s="225" t="str">
        <f ca="1">IF(B2222="","",IF(ISERROR(MATCH($J2222,SorP!$B$1:$B$6230,0)),"",INDIRECT("'SorP'!$A$"&amp;MATCH($J2222,SorP!$B$1:$B$6230,0))))</f>
        <v/>
      </c>
      <c r="U2222" s="241"/>
      <c r="V2222" s="275" t="e">
        <f>IF(C2222="",NA(),MATCH($B2222&amp;$C2222,'Smelter Look-up'!$J:$J,0))</f>
        <v>#N/A</v>
      </c>
      <c r="W2222" s="276"/>
      <c r="X2222" s="276">
        <f t="shared" ca="1" si="313"/>
        <v>0</v>
      </c>
      <c r="Y2222" s="276"/>
      <c r="Z2222" s="276"/>
      <c r="AB2222" s="278" t="str">
        <f t="shared" si="314"/>
        <v/>
      </c>
    </row>
    <row r="2223" spans="1:28" s="277" customFormat="1" ht="20.25">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312"/>
        <v/>
      </c>
      <c r="T2223" s="225" t="str">
        <f ca="1">IF(B2223="","",IF(ISERROR(MATCH($J2223,SorP!$B$1:$B$6230,0)),"",INDIRECT("'SorP'!$A$"&amp;MATCH($J2223,SorP!$B$1:$B$6230,0))))</f>
        <v/>
      </c>
      <c r="U2223" s="241"/>
      <c r="V2223" s="275" t="e">
        <f>IF(C2223="",NA(),MATCH($B2223&amp;$C2223,'Smelter Look-up'!$J:$J,0))</f>
        <v>#N/A</v>
      </c>
      <c r="W2223" s="276"/>
      <c r="X2223" s="276">
        <f t="shared" ca="1" si="313"/>
        <v>0</v>
      </c>
      <c r="Y2223" s="276"/>
      <c r="Z2223" s="276"/>
      <c r="AB2223" s="278" t="str">
        <f t="shared" si="314"/>
        <v/>
      </c>
    </row>
    <row r="2224" spans="1:28" s="277" customFormat="1" ht="20.25">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312"/>
        <v/>
      </c>
      <c r="T2224" s="225" t="str">
        <f ca="1">IF(B2224="","",IF(ISERROR(MATCH($J2224,SorP!$B$1:$B$6230,0)),"",INDIRECT("'SorP'!$A$"&amp;MATCH($J2224,SorP!$B$1:$B$6230,0))))</f>
        <v/>
      </c>
      <c r="U2224" s="241"/>
      <c r="V2224" s="275" t="e">
        <f>IF(C2224="",NA(),MATCH($B2224&amp;$C2224,'Smelter Look-up'!$J:$J,0))</f>
        <v>#N/A</v>
      </c>
      <c r="W2224" s="276"/>
      <c r="X2224" s="276">
        <f t="shared" ca="1" si="313"/>
        <v>0</v>
      </c>
      <c r="Y2224" s="276"/>
      <c r="Z2224" s="276"/>
      <c r="AB2224" s="278" t="str">
        <f t="shared" si="314"/>
        <v/>
      </c>
    </row>
    <row r="2225" spans="1:28" s="277" customFormat="1" ht="20.25">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312"/>
        <v/>
      </c>
      <c r="T2225" s="225" t="str">
        <f ca="1">IF(B2225="","",IF(ISERROR(MATCH($J2225,SorP!$B$1:$B$6230,0)),"",INDIRECT("'SorP'!$A$"&amp;MATCH($J2225,SorP!$B$1:$B$6230,0))))</f>
        <v/>
      </c>
      <c r="U2225" s="241"/>
      <c r="V2225" s="275" t="e">
        <f>IF(C2225="",NA(),MATCH($B2225&amp;$C2225,'Smelter Look-up'!$J:$J,0))</f>
        <v>#N/A</v>
      </c>
      <c r="W2225" s="276"/>
      <c r="X2225" s="276">
        <f t="shared" ca="1" si="313"/>
        <v>0</v>
      </c>
      <c r="Y2225" s="276"/>
      <c r="Z2225" s="276"/>
      <c r="AB2225" s="278" t="str">
        <f t="shared" si="314"/>
        <v/>
      </c>
    </row>
    <row r="2226" spans="1:28" s="277" customFormat="1" ht="20.25">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312"/>
        <v/>
      </c>
      <c r="T2226" s="225" t="str">
        <f ca="1">IF(B2226="","",IF(ISERROR(MATCH($J2226,SorP!$B$1:$B$6230,0)),"",INDIRECT("'SorP'!$A$"&amp;MATCH($J2226,SorP!$B$1:$B$6230,0))))</f>
        <v/>
      </c>
      <c r="U2226" s="241"/>
      <c r="V2226" s="275" t="e">
        <f>IF(C2226="",NA(),MATCH($B2226&amp;$C2226,'Smelter Look-up'!$J:$J,0))</f>
        <v>#N/A</v>
      </c>
      <c r="W2226" s="276"/>
      <c r="X2226" s="276">
        <f t="shared" ca="1" si="313"/>
        <v>0</v>
      </c>
      <c r="Y2226" s="276"/>
      <c r="Z2226" s="276"/>
      <c r="AB2226" s="278" t="str">
        <f t="shared" si="314"/>
        <v/>
      </c>
    </row>
    <row r="2227" spans="1:28" s="277" customFormat="1" ht="20.25">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12"/>
        <v/>
      </c>
      <c r="T2227" s="225" t="str">
        <f ca="1">IF(B2227="","",IF(ISERROR(MATCH($J2227,SorP!$B$1:$B$6230,0)),"",INDIRECT("'SorP'!$A$"&amp;MATCH($J2227,SorP!$B$1:$B$6230,0))))</f>
        <v/>
      </c>
      <c r="U2227" s="241"/>
      <c r="V2227" s="275" t="e">
        <f>IF(C2227="",NA(),MATCH($B2227&amp;$C2227,'Smelter Look-up'!$J:$J,0))</f>
        <v>#N/A</v>
      </c>
      <c r="W2227" s="276"/>
      <c r="X2227" s="276">
        <f t="shared" ca="1" si="313"/>
        <v>0</v>
      </c>
      <c r="Y2227" s="276"/>
      <c r="Z2227" s="276"/>
      <c r="AB2227" s="278" t="str">
        <f t="shared" si="314"/>
        <v/>
      </c>
    </row>
    <row r="2228" spans="1:28" s="277" customFormat="1" ht="20.25">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12"/>
        <v/>
      </c>
      <c r="T2228" s="225" t="str">
        <f ca="1">IF(B2228="","",IF(ISERROR(MATCH($J2228,SorP!$B$1:$B$6230,0)),"",INDIRECT("'SorP'!$A$"&amp;MATCH($J2228,SorP!$B$1:$B$6230,0))))</f>
        <v/>
      </c>
      <c r="U2228" s="241"/>
      <c r="V2228" s="275" t="e">
        <f>IF(C2228="",NA(),MATCH($B2228&amp;$C2228,'Smelter Look-up'!$J:$J,0))</f>
        <v>#N/A</v>
      </c>
      <c r="W2228" s="276"/>
      <c r="X2228" s="276">
        <f t="shared" ca="1" si="313"/>
        <v>0</v>
      </c>
      <c r="Y2228" s="276"/>
      <c r="Z2228" s="276"/>
      <c r="AB2228" s="278" t="str">
        <f t="shared" si="314"/>
        <v/>
      </c>
    </row>
    <row r="2229" spans="1:28" s="277" customFormat="1" ht="20.25">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12"/>
        <v/>
      </c>
      <c r="T2229" s="225" t="str">
        <f ca="1">IF(B2229="","",IF(ISERROR(MATCH($J2229,SorP!$B$1:$B$6230,0)),"",INDIRECT("'SorP'!$A$"&amp;MATCH($J2229,SorP!$B$1:$B$6230,0))))</f>
        <v/>
      </c>
      <c r="U2229" s="241"/>
      <c r="V2229" s="275" t="e">
        <f>IF(C2229="",NA(),MATCH($B2229&amp;$C2229,'Smelter Look-up'!$J:$J,0))</f>
        <v>#N/A</v>
      </c>
      <c r="W2229" s="276"/>
      <c r="X2229" s="276">
        <f t="shared" ca="1" si="313"/>
        <v>0</v>
      </c>
      <c r="Y2229" s="276"/>
      <c r="Z2229" s="276"/>
      <c r="AB2229" s="278" t="str">
        <f t="shared" si="314"/>
        <v/>
      </c>
    </row>
    <row r="2230" spans="1:28" s="277" customFormat="1" ht="20.25">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12"/>
        <v/>
      </c>
      <c r="T2230" s="225" t="str">
        <f ca="1">IF(B2230="","",IF(ISERROR(MATCH($J2230,SorP!$B$1:$B$6230,0)),"",INDIRECT("'SorP'!$A$"&amp;MATCH($J2230,SorP!$B$1:$B$6230,0))))</f>
        <v/>
      </c>
      <c r="U2230" s="241"/>
      <c r="V2230" s="275" t="e">
        <f>IF(C2230="",NA(),MATCH($B2230&amp;$C2230,'Smelter Look-up'!$J:$J,0))</f>
        <v>#N/A</v>
      </c>
      <c r="W2230" s="276"/>
      <c r="X2230" s="276">
        <f t="shared" ca="1" si="313"/>
        <v>0</v>
      </c>
      <c r="Y2230" s="276"/>
      <c r="Z2230" s="276"/>
      <c r="AB2230" s="278" t="str">
        <f t="shared" si="314"/>
        <v/>
      </c>
    </row>
    <row r="2231" spans="1:28" s="277" customFormat="1" ht="20.25">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12"/>
        <v/>
      </c>
      <c r="T2231" s="225" t="str">
        <f ca="1">IF(B2231="","",IF(ISERROR(MATCH($J2231,SorP!$B$1:$B$6230,0)),"",INDIRECT("'SorP'!$A$"&amp;MATCH($J2231,SorP!$B$1:$B$6230,0))))</f>
        <v/>
      </c>
      <c r="U2231" s="241"/>
      <c r="V2231" s="275" t="e">
        <f>IF(C2231="",NA(),MATCH($B2231&amp;$C2231,'Smelter Look-up'!$J:$J,0))</f>
        <v>#N/A</v>
      </c>
      <c r="W2231" s="276"/>
      <c r="X2231" s="276">
        <f t="shared" ca="1" si="313"/>
        <v>0</v>
      </c>
      <c r="Y2231" s="276"/>
      <c r="Z2231" s="276"/>
      <c r="AB2231" s="278" t="str">
        <f t="shared" si="314"/>
        <v/>
      </c>
    </row>
    <row r="2232" spans="1:28" s="277" customFormat="1" ht="20.25">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12"/>
        <v/>
      </c>
      <c r="T2232" s="225" t="str">
        <f ca="1">IF(B2232="","",IF(ISERROR(MATCH($J2232,SorP!$B$1:$B$6230,0)),"",INDIRECT("'SorP'!$A$"&amp;MATCH($J2232,SorP!$B$1:$B$6230,0))))</f>
        <v/>
      </c>
      <c r="U2232" s="241"/>
      <c r="V2232" s="275" t="e">
        <f>IF(C2232="",NA(),MATCH($B2232&amp;$C2232,'Smelter Look-up'!$J:$J,0))</f>
        <v>#N/A</v>
      </c>
      <c r="W2232" s="276"/>
      <c r="X2232" s="276">
        <f t="shared" ca="1" si="313"/>
        <v>0</v>
      </c>
      <c r="Y2232" s="276"/>
      <c r="Z2232" s="276"/>
      <c r="AB2232" s="278" t="str">
        <f t="shared" si="314"/>
        <v/>
      </c>
    </row>
    <row r="2233" spans="1:28" s="277" customFormat="1" ht="20.25">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12"/>
        <v/>
      </c>
      <c r="T2233" s="225" t="str">
        <f ca="1">IF(B2233="","",IF(ISERROR(MATCH($J2233,SorP!$B$1:$B$6230,0)),"",INDIRECT("'SorP'!$A$"&amp;MATCH($J2233,SorP!$B$1:$B$6230,0))))</f>
        <v/>
      </c>
      <c r="U2233" s="241"/>
      <c r="V2233" s="275" t="e">
        <f>IF(C2233="",NA(),MATCH($B2233&amp;$C2233,'Smelter Look-up'!$J:$J,0))</f>
        <v>#N/A</v>
      </c>
      <c r="W2233" s="276"/>
      <c r="X2233" s="276">
        <f t="shared" ca="1" si="313"/>
        <v>0</v>
      </c>
      <c r="Y2233" s="276"/>
      <c r="Z2233" s="276"/>
      <c r="AB2233" s="278" t="str">
        <f t="shared" si="314"/>
        <v/>
      </c>
    </row>
    <row r="2234" spans="1:28" s="277" customFormat="1" ht="20.25">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312"/>
        <v/>
      </c>
      <c r="T2234" s="225" t="str">
        <f ca="1">IF(B2234="","",IF(ISERROR(MATCH($J2234,SorP!$B$1:$B$6230,0)),"",INDIRECT("'SorP'!$A$"&amp;MATCH($J2234,SorP!$B$1:$B$6230,0))))</f>
        <v/>
      </c>
      <c r="U2234" s="241"/>
      <c r="V2234" s="275" t="e">
        <f>IF(C2234="",NA(),MATCH($B2234&amp;$C2234,'Smelter Look-up'!$J:$J,0))</f>
        <v>#N/A</v>
      </c>
      <c r="W2234" s="276"/>
      <c r="X2234" s="276">
        <f t="shared" ca="1" si="313"/>
        <v>0</v>
      </c>
      <c r="Y2234" s="276"/>
      <c r="Z2234" s="276"/>
      <c r="AB2234" s="278" t="str">
        <f t="shared" si="314"/>
        <v/>
      </c>
    </row>
    <row r="2235" spans="1:28" s="277" customFormat="1" ht="20.25">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ref="S2235" ca="1" si="315">IF(B2235="","",IF(ISERROR(MATCH($E2235,CL,0)),"Unknown",INDIRECT("'C'!$A$"&amp;MATCH($E2235,CL,0)+1)))</f>
        <v/>
      </c>
      <c r="T2235" s="225" t="str">
        <f ca="1">IF(B2235="","",IF(ISERROR(MATCH($J2235,SorP!$B$1:$B$6230,0)),"",INDIRECT("'SorP'!$A$"&amp;MATCH($J2235,SorP!$B$1:$B$6230,0))))</f>
        <v/>
      </c>
      <c r="U2235" s="241"/>
      <c r="V2235" s="275" t="e">
        <f>IF(C2235="",NA(),MATCH($B2235&amp;$C2235,'Smelter Look-up'!$J:$J,0))</f>
        <v>#N/A</v>
      </c>
      <c r="W2235" s="276"/>
      <c r="X2235" s="276">
        <f t="shared" ref="X2235" ca="1" si="316">IF(AND(C2235="Smelter not listed",OR(LEN(D2235)=0,LEN(E2235)=0)),1,0)</f>
        <v>0</v>
      </c>
      <c r="Y2235" s="276"/>
      <c r="Z2235" s="276"/>
      <c r="AB2235" s="278" t="str">
        <f t="shared" ref="AB2235" si="317">B2235&amp;C2235</f>
        <v/>
      </c>
    </row>
    <row r="2236" spans="1:28" s="277" customFormat="1" ht="20.25">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ref="S2236:S2267" ca="1" si="318">IF(B2236="","",IF(ISERROR(MATCH($E2236,CL,0)),"Unknown",INDIRECT("'C'!$A$"&amp;MATCH($E2236,CL,0)+1)))</f>
        <v/>
      </c>
      <c r="T2236" s="225" t="str">
        <f ca="1">IF(B2236="","",IF(ISERROR(MATCH($J2236,SorP!$B$1:$B$6230,0)),"",INDIRECT("'SorP'!$A$"&amp;MATCH($J2236,SorP!$B$1:$B$6230,0))))</f>
        <v/>
      </c>
      <c r="U2236" s="241"/>
      <c r="V2236" s="275" t="e">
        <f>IF(C2236="",NA(),MATCH($B2236&amp;$C2236,'Smelter Look-up'!$J:$J,0))</f>
        <v>#N/A</v>
      </c>
      <c r="W2236" s="276"/>
      <c r="X2236" s="276">
        <f t="shared" ref="X2236:X2267" ca="1" si="319">IF(AND(C2236="Smelter not listed",OR(LEN(D2236)=0,LEN(E2236)=0)),1,0)</f>
        <v>0</v>
      </c>
      <c r="Y2236" s="276"/>
      <c r="Z2236" s="276"/>
      <c r="AB2236" s="278" t="str">
        <f t="shared" ref="AB2236:AB2267" si="320">B2236&amp;C2236</f>
        <v/>
      </c>
    </row>
    <row r="2237" spans="1:28" s="277" customFormat="1" ht="20.25">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18"/>
        <v/>
      </c>
      <c r="T2237" s="225" t="str">
        <f ca="1">IF(B2237="","",IF(ISERROR(MATCH($J2237,SorP!$B$1:$B$6230,0)),"",INDIRECT("'SorP'!$A$"&amp;MATCH($J2237,SorP!$B$1:$B$6230,0))))</f>
        <v/>
      </c>
      <c r="U2237" s="241"/>
      <c r="V2237" s="275" t="e">
        <f>IF(C2237="",NA(),MATCH($B2237&amp;$C2237,'Smelter Look-up'!$J:$J,0))</f>
        <v>#N/A</v>
      </c>
      <c r="W2237" s="276"/>
      <c r="X2237" s="276">
        <f t="shared" ca="1" si="319"/>
        <v>0</v>
      </c>
      <c r="Y2237" s="276"/>
      <c r="Z2237" s="276"/>
      <c r="AB2237" s="278" t="str">
        <f t="shared" si="320"/>
        <v/>
      </c>
    </row>
    <row r="2238" spans="1:28" s="277" customFormat="1" ht="20.25">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18"/>
        <v/>
      </c>
      <c r="T2238" s="225" t="str">
        <f ca="1">IF(B2238="","",IF(ISERROR(MATCH($J2238,SorP!$B$1:$B$6230,0)),"",INDIRECT("'SorP'!$A$"&amp;MATCH($J2238,SorP!$B$1:$B$6230,0))))</f>
        <v/>
      </c>
      <c r="U2238" s="241"/>
      <c r="V2238" s="275" t="e">
        <f>IF(C2238="",NA(),MATCH($B2238&amp;$C2238,'Smelter Look-up'!$J:$J,0))</f>
        <v>#N/A</v>
      </c>
      <c r="W2238" s="276"/>
      <c r="X2238" s="276">
        <f t="shared" ca="1" si="319"/>
        <v>0</v>
      </c>
      <c r="Y2238" s="276"/>
      <c r="Z2238" s="276"/>
      <c r="AB2238" s="278" t="str">
        <f t="shared" si="320"/>
        <v/>
      </c>
    </row>
    <row r="2239" spans="1:28" s="277" customFormat="1" ht="20.25">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18"/>
        <v/>
      </c>
      <c r="T2239" s="225" t="str">
        <f ca="1">IF(B2239="","",IF(ISERROR(MATCH($J2239,SorP!$B$1:$B$6230,0)),"",INDIRECT("'SorP'!$A$"&amp;MATCH($J2239,SorP!$B$1:$B$6230,0))))</f>
        <v/>
      </c>
      <c r="U2239" s="241"/>
      <c r="V2239" s="275" t="e">
        <f>IF(C2239="",NA(),MATCH($B2239&amp;$C2239,'Smelter Look-up'!$J:$J,0))</f>
        <v>#N/A</v>
      </c>
      <c r="W2239" s="276"/>
      <c r="X2239" s="276">
        <f t="shared" ca="1" si="319"/>
        <v>0</v>
      </c>
      <c r="Y2239" s="276"/>
      <c r="Z2239" s="276"/>
      <c r="AB2239" s="278" t="str">
        <f t="shared" si="320"/>
        <v/>
      </c>
    </row>
    <row r="2240" spans="1:28" s="277" customFormat="1" ht="20.25">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18"/>
        <v/>
      </c>
      <c r="T2240" s="225" t="str">
        <f ca="1">IF(B2240="","",IF(ISERROR(MATCH($J2240,SorP!$B$1:$B$6230,0)),"",INDIRECT("'SorP'!$A$"&amp;MATCH($J2240,SorP!$B$1:$B$6230,0))))</f>
        <v/>
      </c>
      <c r="U2240" s="241"/>
      <c r="V2240" s="275" t="e">
        <f>IF(C2240="",NA(),MATCH($B2240&amp;$C2240,'Smelter Look-up'!$J:$J,0))</f>
        <v>#N/A</v>
      </c>
      <c r="W2240" s="276"/>
      <c r="X2240" s="276">
        <f t="shared" ca="1" si="319"/>
        <v>0</v>
      </c>
      <c r="Y2240" s="276"/>
      <c r="Z2240" s="276"/>
      <c r="AB2240" s="278" t="str">
        <f t="shared" si="320"/>
        <v/>
      </c>
    </row>
    <row r="2241" spans="1:28" s="277" customFormat="1" ht="20.25">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18"/>
        <v/>
      </c>
      <c r="T2241" s="225" t="str">
        <f ca="1">IF(B2241="","",IF(ISERROR(MATCH($J2241,SorP!$B$1:$B$6230,0)),"",INDIRECT("'SorP'!$A$"&amp;MATCH($J2241,SorP!$B$1:$B$6230,0))))</f>
        <v/>
      </c>
      <c r="U2241" s="241"/>
      <c r="V2241" s="275" t="e">
        <f>IF(C2241="",NA(),MATCH($B2241&amp;$C2241,'Smelter Look-up'!$J:$J,0))</f>
        <v>#N/A</v>
      </c>
      <c r="W2241" s="276"/>
      <c r="X2241" s="276">
        <f t="shared" ca="1" si="319"/>
        <v>0</v>
      </c>
      <c r="Y2241" s="276"/>
      <c r="Z2241" s="276"/>
      <c r="AB2241" s="278" t="str">
        <f t="shared" si="320"/>
        <v/>
      </c>
    </row>
    <row r="2242" spans="1:28" s="277" customFormat="1" ht="20.25">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18"/>
        <v/>
      </c>
      <c r="T2242" s="225" t="str">
        <f ca="1">IF(B2242="","",IF(ISERROR(MATCH($J2242,SorP!$B$1:$B$6230,0)),"",INDIRECT("'SorP'!$A$"&amp;MATCH($J2242,SorP!$B$1:$B$6230,0))))</f>
        <v/>
      </c>
      <c r="U2242" s="241"/>
      <c r="V2242" s="275" t="e">
        <f>IF(C2242="",NA(),MATCH($B2242&amp;$C2242,'Smelter Look-up'!$J:$J,0))</f>
        <v>#N/A</v>
      </c>
      <c r="W2242" s="276"/>
      <c r="X2242" s="276">
        <f t="shared" ca="1" si="319"/>
        <v>0</v>
      </c>
      <c r="Y2242" s="276"/>
      <c r="Z2242" s="276"/>
      <c r="AB2242" s="278" t="str">
        <f t="shared" si="320"/>
        <v/>
      </c>
    </row>
    <row r="2243" spans="1:28" s="277" customFormat="1" ht="20.25">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18"/>
        <v/>
      </c>
      <c r="T2243" s="225" t="str">
        <f ca="1">IF(B2243="","",IF(ISERROR(MATCH($J2243,SorP!$B$1:$B$6230,0)),"",INDIRECT("'SorP'!$A$"&amp;MATCH($J2243,SorP!$B$1:$B$6230,0))))</f>
        <v/>
      </c>
      <c r="U2243" s="241"/>
      <c r="V2243" s="275" t="e">
        <f>IF(C2243="",NA(),MATCH($B2243&amp;$C2243,'Smelter Look-up'!$J:$J,0))</f>
        <v>#N/A</v>
      </c>
      <c r="W2243" s="276"/>
      <c r="X2243" s="276">
        <f t="shared" ca="1" si="319"/>
        <v>0</v>
      </c>
      <c r="Y2243" s="276"/>
      <c r="Z2243" s="276"/>
      <c r="AB2243" s="278" t="str">
        <f t="shared" si="320"/>
        <v/>
      </c>
    </row>
    <row r="2244" spans="1:28" s="277" customFormat="1" ht="20.25">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18"/>
        <v/>
      </c>
      <c r="T2244" s="225" t="str">
        <f ca="1">IF(B2244="","",IF(ISERROR(MATCH($J2244,SorP!$B$1:$B$6230,0)),"",INDIRECT("'SorP'!$A$"&amp;MATCH($J2244,SorP!$B$1:$B$6230,0))))</f>
        <v/>
      </c>
      <c r="U2244" s="241"/>
      <c r="V2244" s="275" t="e">
        <f>IF(C2244="",NA(),MATCH($B2244&amp;$C2244,'Smelter Look-up'!$J:$J,0))</f>
        <v>#N/A</v>
      </c>
      <c r="W2244" s="276"/>
      <c r="X2244" s="276">
        <f t="shared" ca="1" si="319"/>
        <v>0</v>
      </c>
      <c r="Y2244" s="276"/>
      <c r="Z2244" s="276"/>
      <c r="AB2244" s="278" t="str">
        <f t="shared" si="320"/>
        <v/>
      </c>
    </row>
    <row r="2245" spans="1:28" s="277" customFormat="1" ht="20.25">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18"/>
        <v/>
      </c>
      <c r="T2245" s="225" t="str">
        <f ca="1">IF(B2245="","",IF(ISERROR(MATCH($J2245,SorP!$B$1:$B$6230,0)),"",INDIRECT("'SorP'!$A$"&amp;MATCH($J2245,SorP!$B$1:$B$6230,0))))</f>
        <v/>
      </c>
      <c r="U2245" s="241"/>
      <c r="V2245" s="275" t="e">
        <f>IF(C2245="",NA(),MATCH($B2245&amp;$C2245,'Smelter Look-up'!$J:$J,0))</f>
        <v>#N/A</v>
      </c>
      <c r="W2245" s="276"/>
      <c r="X2245" s="276">
        <f t="shared" ca="1" si="319"/>
        <v>0</v>
      </c>
      <c r="Y2245" s="276"/>
      <c r="Z2245" s="276"/>
      <c r="AB2245" s="278" t="str">
        <f t="shared" si="320"/>
        <v/>
      </c>
    </row>
    <row r="2246" spans="1:28" s="277" customFormat="1" ht="20.25">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18"/>
        <v/>
      </c>
      <c r="T2246" s="225" t="str">
        <f ca="1">IF(B2246="","",IF(ISERROR(MATCH($J2246,SorP!$B$1:$B$6230,0)),"",INDIRECT("'SorP'!$A$"&amp;MATCH($J2246,SorP!$B$1:$B$6230,0))))</f>
        <v/>
      </c>
      <c r="U2246" s="241"/>
      <c r="V2246" s="275" t="e">
        <f>IF(C2246="",NA(),MATCH($B2246&amp;$C2246,'Smelter Look-up'!$J:$J,0))</f>
        <v>#N/A</v>
      </c>
      <c r="W2246" s="276"/>
      <c r="X2246" s="276">
        <f t="shared" ca="1" si="319"/>
        <v>0</v>
      </c>
      <c r="Y2246" s="276"/>
      <c r="Z2246" s="276"/>
      <c r="AB2246" s="278" t="str">
        <f t="shared" si="320"/>
        <v/>
      </c>
    </row>
    <row r="2247" spans="1:28" s="277" customFormat="1" ht="20.25">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18"/>
        <v/>
      </c>
      <c r="T2247" s="225" t="str">
        <f ca="1">IF(B2247="","",IF(ISERROR(MATCH($J2247,SorP!$B$1:$B$6230,0)),"",INDIRECT("'SorP'!$A$"&amp;MATCH($J2247,SorP!$B$1:$B$6230,0))))</f>
        <v/>
      </c>
      <c r="U2247" s="241"/>
      <c r="V2247" s="275" t="e">
        <f>IF(C2247="",NA(),MATCH($B2247&amp;$C2247,'Smelter Look-up'!$J:$J,0))</f>
        <v>#N/A</v>
      </c>
      <c r="W2247" s="276"/>
      <c r="X2247" s="276">
        <f t="shared" ca="1" si="319"/>
        <v>0</v>
      </c>
      <c r="Y2247" s="276"/>
      <c r="Z2247" s="276"/>
      <c r="AB2247" s="278" t="str">
        <f t="shared" si="320"/>
        <v/>
      </c>
    </row>
    <row r="2248" spans="1:28" s="277" customFormat="1" ht="20.25">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18"/>
        <v/>
      </c>
      <c r="T2248" s="225" t="str">
        <f ca="1">IF(B2248="","",IF(ISERROR(MATCH($J2248,SorP!$B$1:$B$6230,0)),"",INDIRECT("'SorP'!$A$"&amp;MATCH($J2248,SorP!$B$1:$B$6230,0))))</f>
        <v/>
      </c>
      <c r="U2248" s="241"/>
      <c r="V2248" s="275" t="e">
        <f>IF(C2248="",NA(),MATCH($B2248&amp;$C2248,'Smelter Look-up'!$J:$J,0))</f>
        <v>#N/A</v>
      </c>
      <c r="W2248" s="276"/>
      <c r="X2248" s="276">
        <f t="shared" ca="1" si="319"/>
        <v>0</v>
      </c>
      <c r="Y2248" s="276"/>
      <c r="Z2248" s="276"/>
      <c r="AB2248" s="278" t="str">
        <f t="shared" si="320"/>
        <v/>
      </c>
    </row>
    <row r="2249" spans="1:28" s="277" customFormat="1" ht="20.25">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18"/>
        <v/>
      </c>
      <c r="T2249" s="225" t="str">
        <f ca="1">IF(B2249="","",IF(ISERROR(MATCH($J2249,SorP!$B$1:$B$6230,0)),"",INDIRECT("'SorP'!$A$"&amp;MATCH($J2249,SorP!$B$1:$B$6230,0))))</f>
        <v/>
      </c>
      <c r="U2249" s="241"/>
      <c r="V2249" s="275" t="e">
        <f>IF(C2249="",NA(),MATCH($B2249&amp;$C2249,'Smelter Look-up'!$J:$J,0))</f>
        <v>#N/A</v>
      </c>
      <c r="W2249" s="276"/>
      <c r="X2249" s="276">
        <f t="shared" ca="1" si="319"/>
        <v>0</v>
      </c>
      <c r="Y2249" s="276"/>
      <c r="Z2249" s="276"/>
      <c r="AB2249" s="278" t="str">
        <f t="shared" si="320"/>
        <v/>
      </c>
    </row>
    <row r="2250" spans="1:28" s="277" customFormat="1" ht="20.25">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18"/>
        <v/>
      </c>
      <c r="T2250" s="225" t="str">
        <f ca="1">IF(B2250="","",IF(ISERROR(MATCH($J2250,SorP!$B$1:$B$6230,0)),"",INDIRECT("'SorP'!$A$"&amp;MATCH($J2250,SorP!$B$1:$B$6230,0))))</f>
        <v/>
      </c>
      <c r="U2250" s="241"/>
      <c r="V2250" s="275" t="e">
        <f>IF(C2250="",NA(),MATCH($B2250&amp;$C2250,'Smelter Look-up'!$J:$J,0))</f>
        <v>#N/A</v>
      </c>
      <c r="W2250" s="276"/>
      <c r="X2250" s="276">
        <f t="shared" ca="1" si="319"/>
        <v>0</v>
      </c>
      <c r="Y2250" s="276"/>
      <c r="Z2250" s="276"/>
      <c r="AB2250" s="278" t="str">
        <f t="shared" si="320"/>
        <v/>
      </c>
    </row>
    <row r="2251" spans="1:28" s="277" customFormat="1" ht="20.25">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18"/>
        <v/>
      </c>
      <c r="T2251" s="225" t="str">
        <f ca="1">IF(B2251="","",IF(ISERROR(MATCH($J2251,SorP!$B$1:$B$6230,0)),"",INDIRECT("'SorP'!$A$"&amp;MATCH($J2251,SorP!$B$1:$B$6230,0))))</f>
        <v/>
      </c>
      <c r="U2251" s="241"/>
      <c r="V2251" s="275" t="e">
        <f>IF(C2251="",NA(),MATCH($B2251&amp;$C2251,'Smelter Look-up'!$J:$J,0))</f>
        <v>#N/A</v>
      </c>
      <c r="W2251" s="276"/>
      <c r="X2251" s="276">
        <f t="shared" ca="1" si="319"/>
        <v>0</v>
      </c>
      <c r="Y2251" s="276"/>
      <c r="Z2251" s="276"/>
      <c r="AB2251" s="278" t="str">
        <f t="shared" si="320"/>
        <v/>
      </c>
    </row>
    <row r="2252" spans="1:28" s="277" customFormat="1" ht="20.25">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18"/>
        <v/>
      </c>
      <c r="T2252" s="225" t="str">
        <f ca="1">IF(B2252="","",IF(ISERROR(MATCH($J2252,SorP!$B$1:$B$6230,0)),"",INDIRECT("'SorP'!$A$"&amp;MATCH($J2252,SorP!$B$1:$B$6230,0))))</f>
        <v/>
      </c>
      <c r="U2252" s="241"/>
      <c r="V2252" s="275" t="e">
        <f>IF(C2252="",NA(),MATCH($B2252&amp;$C2252,'Smelter Look-up'!$J:$J,0))</f>
        <v>#N/A</v>
      </c>
      <c r="W2252" s="276"/>
      <c r="X2252" s="276">
        <f t="shared" ca="1" si="319"/>
        <v>0</v>
      </c>
      <c r="Y2252" s="276"/>
      <c r="Z2252" s="276"/>
      <c r="AB2252" s="278" t="str">
        <f t="shared" si="320"/>
        <v/>
      </c>
    </row>
    <row r="2253" spans="1:28" s="277" customFormat="1" ht="20.25">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18"/>
        <v/>
      </c>
      <c r="T2253" s="225" t="str">
        <f ca="1">IF(B2253="","",IF(ISERROR(MATCH($J2253,SorP!$B$1:$B$6230,0)),"",INDIRECT("'SorP'!$A$"&amp;MATCH($J2253,SorP!$B$1:$B$6230,0))))</f>
        <v/>
      </c>
      <c r="U2253" s="241"/>
      <c r="V2253" s="275" t="e">
        <f>IF(C2253="",NA(),MATCH($B2253&amp;$C2253,'Smelter Look-up'!$J:$J,0))</f>
        <v>#N/A</v>
      </c>
      <c r="W2253" s="276"/>
      <c r="X2253" s="276">
        <f t="shared" ca="1" si="319"/>
        <v>0</v>
      </c>
      <c r="Y2253" s="276"/>
      <c r="Z2253" s="276"/>
      <c r="AB2253" s="278" t="str">
        <f t="shared" si="320"/>
        <v/>
      </c>
    </row>
    <row r="2254" spans="1:28" s="277" customFormat="1" ht="20.25">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18"/>
        <v/>
      </c>
      <c r="T2254" s="225" t="str">
        <f ca="1">IF(B2254="","",IF(ISERROR(MATCH($J2254,SorP!$B$1:$B$6230,0)),"",INDIRECT("'SorP'!$A$"&amp;MATCH($J2254,SorP!$B$1:$B$6230,0))))</f>
        <v/>
      </c>
      <c r="U2254" s="241"/>
      <c r="V2254" s="275" t="e">
        <f>IF(C2254="",NA(),MATCH($B2254&amp;$C2254,'Smelter Look-up'!$J:$J,0))</f>
        <v>#N/A</v>
      </c>
      <c r="W2254" s="276"/>
      <c r="X2254" s="276">
        <f t="shared" ca="1" si="319"/>
        <v>0</v>
      </c>
      <c r="Y2254" s="276"/>
      <c r="Z2254" s="276"/>
      <c r="AB2254" s="278" t="str">
        <f t="shared" si="320"/>
        <v/>
      </c>
    </row>
    <row r="2255" spans="1:28" s="277" customFormat="1" ht="20.25">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18"/>
        <v/>
      </c>
      <c r="T2255" s="225" t="str">
        <f ca="1">IF(B2255="","",IF(ISERROR(MATCH($J2255,SorP!$B$1:$B$6230,0)),"",INDIRECT("'SorP'!$A$"&amp;MATCH($J2255,SorP!$B$1:$B$6230,0))))</f>
        <v/>
      </c>
      <c r="U2255" s="241"/>
      <c r="V2255" s="275" t="e">
        <f>IF(C2255="",NA(),MATCH($B2255&amp;$C2255,'Smelter Look-up'!$J:$J,0))</f>
        <v>#N/A</v>
      </c>
      <c r="W2255" s="276"/>
      <c r="X2255" s="276">
        <f t="shared" ca="1" si="319"/>
        <v>0</v>
      </c>
      <c r="Y2255" s="276"/>
      <c r="Z2255" s="276"/>
      <c r="AB2255" s="278" t="str">
        <f t="shared" si="320"/>
        <v/>
      </c>
    </row>
    <row r="2256" spans="1:28" s="277" customFormat="1" ht="20.25">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318"/>
        <v/>
      </c>
      <c r="T2256" s="225" t="str">
        <f ca="1">IF(B2256="","",IF(ISERROR(MATCH($J2256,SorP!$B$1:$B$6230,0)),"",INDIRECT("'SorP'!$A$"&amp;MATCH($J2256,SorP!$B$1:$B$6230,0))))</f>
        <v/>
      </c>
      <c r="U2256" s="241"/>
      <c r="V2256" s="275" t="e">
        <f>IF(C2256="",NA(),MATCH($B2256&amp;$C2256,'Smelter Look-up'!$J:$J,0))</f>
        <v>#N/A</v>
      </c>
      <c r="W2256" s="276"/>
      <c r="X2256" s="276">
        <f t="shared" ca="1" si="319"/>
        <v>0</v>
      </c>
      <c r="Y2256" s="276"/>
      <c r="Z2256" s="276"/>
      <c r="AB2256" s="278" t="str">
        <f t="shared" si="320"/>
        <v/>
      </c>
    </row>
    <row r="2257" spans="1:28" s="277" customFormat="1" ht="20.25">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18"/>
        <v/>
      </c>
      <c r="T2257" s="225" t="str">
        <f ca="1">IF(B2257="","",IF(ISERROR(MATCH($J2257,SorP!$B$1:$B$6230,0)),"",INDIRECT("'SorP'!$A$"&amp;MATCH($J2257,SorP!$B$1:$B$6230,0))))</f>
        <v/>
      </c>
      <c r="U2257" s="241"/>
      <c r="V2257" s="275" t="e">
        <f>IF(C2257="",NA(),MATCH($B2257&amp;$C2257,'Smelter Look-up'!$J:$J,0))</f>
        <v>#N/A</v>
      </c>
      <c r="W2257" s="276"/>
      <c r="X2257" s="276">
        <f t="shared" ca="1" si="319"/>
        <v>0</v>
      </c>
      <c r="Y2257" s="276"/>
      <c r="Z2257" s="276"/>
      <c r="AB2257" s="278" t="str">
        <f t="shared" si="320"/>
        <v/>
      </c>
    </row>
    <row r="2258" spans="1:28" s="277" customFormat="1" ht="20.25">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318"/>
        <v/>
      </c>
      <c r="T2258" s="225" t="str">
        <f ca="1">IF(B2258="","",IF(ISERROR(MATCH($J2258,SorP!$B$1:$B$6230,0)),"",INDIRECT("'SorP'!$A$"&amp;MATCH($J2258,SorP!$B$1:$B$6230,0))))</f>
        <v/>
      </c>
      <c r="U2258" s="241"/>
      <c r="V2258" s="275" t="e">
        <f>IF(C2258="",NA(),MATCH($B2258&amp;$C2258,'Smelter Look-up'!$J:$J,0))</f>
        <v>#N/A</v>
      </c>
      <c r="W2258" s="276"/>
      <c r="X2258" s="276">
        <f t="shared" ca="1" si="319"/>
        <v>0</v>
      </c>
      <c r="Y2258" s="276"/>
      <c r="Z2258" s="276"/>
      <c r="AB2258" s="278" t="str">
        <f t="shared" si="320"/>
        <v/>
      </c>
    </row>
    <row r="2259" spans="1:28" s="277" customFormat="1" ht="20.25">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18"/>
        <v/>
      </c>
      <c r="T2259" s="225" t="str">
        <f ca="1">IF(B2259="","",IF(ISERROR(MATCH($J2259,SorP!$B$1:$B$6230,0)),"",INDIRECT("'SorP'!$A$"&amp;MATCH($J2259,SorP!$B$1:$B$6230,0))))</f>
        <v/>
      </c>
      <c r="U2259" s="241"/>
      <c r="V2259" s="275" t="e">
        <f>IF(C2259="",NA(),MATCH($B2259&amp;$C2259,'Smelter Look-up'!$J:$J,0))</f>
        <v>#N/A</v>
      </c>
      <c r="W2259" s="276"/>
      <c r="X2259" s="276">
        <f t="shared" ca="1" si="319"/>
        <v>0</v>
      </c>
      <c r="Y2259" s="276"/>
      <c r="Z2259" s="276"/>
      <c r="AB2259" s="278" t="str">
        <f t="shared" si="320"/>
        <v/>
      </c>
    </row>
    <row r="2260" spans="1:28" s="277" customFormat="1" ht="20.25">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18"/>
        <v/>
      </c>
      <c r="T2260" s="225" t="str">
        <f ca="1">IF(B2260="","",IF(ISERROR(MATCH($J2260,SorP!$B$1:$B$6230,0)),"",INDIRECT("'SorP'!$A$"&amp;MATCH($J2260,SorP!$B$1:$B$6230,0))))</f>
        <v/>
      </c>
      <c r="U2260" s="241"/>
      <c r="V2260" s="275" t="e">
        <f>IF(C2260="",NA(),MATCH($B2260&amp;$C2260,'Smelter Look-up'!$J:$J,0))</f>
        <v>#N/A</v>
      </c>
      <c r="W2260" s="276"/>
      <c r="X2260" s="276">
        <f t="shared" ca="1" si="319"/>
        <v>0</v>
      </c>
      <c r="Y2260" s="276"/>
      <c r="Z2260" s="276"/>
      <c r="AB2260" s="278" t="str">
        <f t="shared" si="320"/>
        <v/>
      </c>
    </row>
    <row r="2261" spans="1:28" s="277" customFormat="1" ht="20.25">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18"/>
        <v/>
      </c>
      <c r="T2261" s="225" t="str">
        <f ca="1">IF(B2261="","",IF(ISERROR(MATCH($J2261,SorP!$B$1:$B$6230,0)),"",INDIRECT("'SorP'!$A$"&amp;MATCH($J2261,SorP!$B$1:$B$6230,0))))</f>
        <v/>
      </c>
      <c r="U2261" s="241"/>
      <c r="V2261" s="275" t="e">
        <f>IF(C2261="",NA(),MATCH($B2261&amp;$C2261,'Smelter Look-up'!$J:$J,0))</f>
        <v>#N/A</v>
      </c>
      <c r="W2261" s="276"/>
      <c r="X2261" s="276">
        <f t="shared" ca="1" si="319"/>
        <v>0</v>
      </c>
      <c r="Y2261" s="276"/>
      <c r="Z2261" s="276"/>
      <c r="AB2261" s="278" t="str">
        <f t="shared" si="320"/>
        <v/>
      </c>
    </row>
    <row r="2262" spans="1:28" s="277" customFormat="1" ht="20.25">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18"/>
        <v/>
      </c>
      <c r="T2262" s="225" t="str">
        <f ca="1">IF(B2262="","",IF(ISERROR(MATCH($J2262,SorP!$B$1:$B$6230,0)),"",INDIRECT("'SorP'!$A$"&amp;MATCH($J2262,SorP!$B$1:$B$6230,0))))</f>
        <v/>
      </c>
      <c r="U2262" s="241"/>
      <c r="V2262" s="275" t="e">
        <f>IF(C2262="",NA(),MATCH($B2262&amp;$C2262,'Smelter Look-up'!$J:$J,0))</f>
        <v>#N/A</v>
      </c>
      <c r="W2262" s="276"/>
      <c r="X2262" s="276">
        <f t="shared" ca="1" si="319"/>
        <v>0</v>
      </c>
      <c r="Y2262" s="276"/>
      <c r="Z2262" s="276"/>
      <c r="AB2262" s="278" t="str">
        <f t="shared" si="320"/>
        <v/>
      </c>
    </row>
    <row r="2263" spans="1:28" s="277" customFormat="1" ht="20.25">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18"/>
        <v/>
      </c>
      <c r="T2263" s="225" t="str">
        <f ca="1">IF(B2263="","",IF(ISERROR(MATCH($J2263,SorP!$B$1:$B$6230,0)),"",INDIRECT("'SorP'!$A$"&amp;MATCH($J2263,SorP!$B$1:$B$6230,0))))</f>
        <v/>
      </c>
      <c r="U2263" s="241"/>
      <c r="V2263" s="275" t="e">
        <f>IF(C2263="",NA(),MATCH($B2263&amp;$C2263,'Smelter Look-up'!$J:$J,0))</f>
        <v>#N/A</v>
      </c>
      <c r="W2263" s="276"/>
      <c r="X2263" s="276">
        <f t="shared" ca="1" si="319"/>
        <v>0</v>
      </c>
      <c r="Y2263" s="276"/>
      <c r="Z2263" s="276"/>
      <c r="AB2263" s="278" t="str">
        <f t="shared" si="320"/>
        <v/>
      </c>
    </row>
    <row r="2264" spans="1:28" s="277" customFormat="1" ht="20.25">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18"/>
        <v/>
      </c>
      <c r="T2264" s="225" t="str">
        <f ca="1">IF(B2264="","",IF(ISERROR(MATCH($J2264,SorP!$B$1:$B$6230,0)),"",INDIRECT("'SorP'!$A$"&amp;MATCH($J2264,SorP!$B$1:$B$6230,0))))</f>
        <v/>
      </c>
      <c r="U2264" s="241"/>
      <c r="V2264" s="275" t="e">
        <f>IF(C2264="",NA(),MATCH($B2264&amp;$C2264,'Smelter Look-up'!$J:$J,0))</f>
        <v>#N/A</v>
      </c>
      <c r="W2264" s="276"/>
      <c r="X2264" s="276">
        <f t="shared" ca="1" si="319"/>
        <v>0</v>
      </c>
      <c r="Y2264" s="276"/>
      <c r="Z2264" s="276"/>
      <c r="AB2264" s="278" t="str">
        <f t="shared" si="320"/>
        <v/>
      </c>
    </row>
    <row r="2265" spans="1:28" s="277" customFormat="1" ht="20.25">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18"/>
        <v/>
      </c>
      <c r="T2265" s="225" t="str">
        <f ca="1">IF(B2265="","",IF(ISERROR(MATCH($J2265,SorP!$B$1:$B$6230,0)),"",INDIRECT("'SorP'!$A$"&amp;MATCH($J2265,SorP!$B$1:$B$6230,0))))</f>
        <v/>
      </c>
      <c r="U2265" s="241"/>
      <c r="V2265" s="275" t="e">
        <f>IF(C2265="",NA(),MATCH($B2265&amp;$C2265,'Smelter Look-up'!$J:$J,0))</f>
        <v>#N/A</v>
      </c>
      <c r="W2265" s="276"/>
      <c r="X2265" s="276">
        <f t="shared" ca="1" si="319"/>
        <v>0</v>
      </c>
      <c r="Y2265" s="276"/>
      <c r="Z2265" s="276"/>
      <c r="AB2265" s="278" t="str">
        <f t="shared" si="320"/>
        <v/>
      </c>
    </row>
    <row r="2266" spans="1:28" s="277" customFormat="1" ht="20.25">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18"/>
        <v/>
      </c>
      <c r="T2266" s="225" t="str">
        <f ca="1">IF(B2266="","",IF(ISERROR(MATCH($J2266,SorP!$B$1:$B$6230,0)),"",INDIRECT("'SorP'!$A$"&amp;MATCH($J2266,SorP!$B$1:$B$6230,0))))</f>
        <v/>
      </c>
      <c r="U2266" s="241"/>
      <c r="V2266" s="275" t="e">
        <f>IF(C2266="",NA(),MATCH($B2266&amp;$C2266,'Smelter Look-up'!$J:$J,0))</f>
        <v>#N/A</v>
      </c>
      <c r="W2266" s="276"/>
      <c r="X2266" s="276">
        <f t="shared" ca="1" si="319"/>
        <v>0</v>
      </c>
      <c r="Y2266" s="276"/>
      <c r="Z2266" s="276"/>
      <c r="AB2266" s="278" t="str">
        <f t="shared" si="320"/>
        <v/>
      </c>
    </row>
    <row r="2267" spans="1:28" s="277" customFormat="1" ht="20.25">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318"/>
        <v/>
      </c>
      <c r="T2267" s="225" t="str">
        <f ca="1">IF(B2267="","",IF(ISERROR(MATCH($J2267,SorP!$B$1:$B$6230,0)),"",INDIRECT("'SorP'!$A$"&amp;MATCH($J2267,SorP!$B$1:$B$6230,0))))</f>
        <v/>
      </c>
      <c r="U2267" s="241"/>
      <c r="V2267" s="275" t="e">
        <f>IF(C2267="",NA(),MATCH($B2267&amp;$C2267,'Smelter Look-up'!$J:$J,0))</f>
        <v>#N/A</v>
      </c>
      <c r="W2267" s="276"/>
      <c r="X2267" s="276">
        <f t="shared" ca="1" si="319"/>
        <v>0</v>
      </c>
      <c r="Y2267" s="276"/>
      <c r="Z2267" s="276"/>
      <c r="AB2267" s="278" t="str">
        <f t="shared" si="320"/>
        <v/>
      </c>
    </row>
    <row r="2268" spans="1:28" s="277" customFormat="1" ht="20.25">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ref="S2268:S2298" ca="1" si="321">IF(B2268="","",IF(ISERROR(MATCH($E2268,CL,0)),"Unknown",INDIRECT("'C'!$A$"&amp;MATCH($E2268,CL,0)+1)))</f>
        <v/>
      </c>
      <c r="T2268" s="225" t="str">
        <f ca="1">IF(B2268="","",IF(ISERROR(MATCH($J2268,SorP!$B$1:$B$6230,0)),"",INDIRECT("'SorP'!$A$"&amp;MATCH($J2268,SorP!$B$1:$B$6230,0))))</f>
        <v/>
      </c>
      <c r="U2268" s="241"/>
      <c r="V2268" s="275" t="e">
        <f>IF(C2268="",NA(),MATCH($B2268&amp;$C2268,'Smelter Look-up'!$J:$J,0))</f>
        <v>#N/A</v>
      </c>
      <c r="W2268" s="276"/>
      <c r="X2268" s="276">
        <f t="shared" ref="X2268:X2298" ca="1" si="322">IF(AND(C2268="Smelter not listed",OR(LEN(D2268)=0,LEN(E2268)=0)),1,0)</f>
        <v>0</v>
      </c>
      <c r="Y2268" s="276"/>
      <c r="Z2268" s="276"/>
      <c r="AB2268" s="278" t="str">
        <f t="shared" ref="AB2268:AB2298" si="323">B2268&amp;C2268</f>
        <v/>
      </c>
    </row>
    <row r="2269" spans="1:28" s="277" customFormat="1" ht="20.25">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21"/>
        <v/>
      </c>
      <c r="T2269" s="225" t="str">
        <f ca="1">IF(B2269="","",IF(ISERROR(MATCH($J2269,SorP!$B$1:$B$6230,0)),"",INDIRECT("'SorP'!$A$"&amp;MATCH($J2269,SorP!$B$1:$B$6230,0))))</f>
        <v/>
      </c>
      <c r="U2269" s="241"/>
      <c r="V2269" s="275" t="e">
        <f>IF(C2269="",NA(),MATCH($B2269&amp;$C2269,'Smelter Look-up'!$J:$J,0))</f>
        <v>#N/A</v>
      </c>
      <c r="W2269" s="276"/>
      <c r="X2269" s="276">
        <f t="shared" ca="1" si="322"/>
        <v>0</v>
      </c>
      <c r="Y2269" s="276"/>
      <c r="Z2269" s="276"/>
      <c r="AB2269" s="278" t="str">
        <f t="shared" si="323"/>
        <v/>
      </c>
    </row>
    <row r="2270" spans="1:28" s="277" customFormat="1" ht="20.25">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21"/>
        <v/>
      </c>
      <c r="T2270" s="225" t="str">
        <f ca="1">IF(B2270="","",IF(ISERROR(MATCH($J2270,SorP!$B$1:$B$6230,0)),"",INDIRECT("'SorP'!$A$"&amp;MATCH($J2270,SorP!$B$1:$B$6230,0))))</f>
        <v/>
      </c>
      <c r="U2270" s="241"/>
      <c r="V2270" s="275" t="e">
        <f>IF(C2270="",NA(),MATCH($B2270&amp;$C2270,'Smelter Look-up'!$J:$J,0))</f>
        <v>#N/A</v>
      </c>
      <c r="W2270" s="276"/>
      <c r="X2270" s="276">
        <f t="shared" ca="1" si="322"/>
        <v>0</v>
      </c>
      <c r="Y2270" s="276"/>
      <c r="Z2270" s="276"/>
      <c r="AB2270" s="278" t="str">
        <f t="shared" si="323"/>
        <v/>
      </c>
    </row>
    <row r="2271" spans="1:28" s="277" customFormat="1" ht="20.25">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21"/>
        <v/>
      </c>
      <c r="T2271" s="225" t="str">
        <f ca="1">IF(B2271="","",IF(ISERROR(MATCH($J2271,SorP!$B$1:$B$6230,0)),"",INDIRECT("'SorP'!$A$"&amp;MATCH($J2271,SorP!$B$1:$B$6230,0))))</f>
        <v/>
      </c>
      <c r="U2271" s="241"/>
      <c r="V2271" s="275" t="e">
        <f>IF(C2271="",NA(),MATCH($B2271&amp;$C2271,'Smelter Look-up'!$J:$J,0))</f>
        <v>#N/A</v>
      </c>
      <c r="W2271" s="276"/>
      <c r="X2271" s="276">
        <f t="shared" ca="1" si="322"/>
        <v>0</v>
      </c>
      <c r="Y2271" s="276"/>
      <c r="Z2271" s="276"/>
      <c r="AB2271" s="278" t="str">
        <f t="shared" si="323"/>
        <v/>
      </c>
    </row>
    <row r="2272" spans="1:28" s="277" customFormat="1" ht="20.25">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21"/>
        <v/>
      </c>
      <c r="T2272" s="225" t="str">
        <f ca="1">IF(B2272="","",IF(ISERROR(MATCH($J2272,SorP!$B$1:$B$6230,0)),"",INDIRECT("'SorP'!$A$"&amp;MATCH($J2272,SorP!$B$1:$B$6230,0))))</f>
        <v/>
      </c>
      <c r="U2272" s="241"/>
      <c r="V2272" s="275" t="e">
        <f>IF(C2272="",NA(),MATCH($B2272&amp;$C2272,'Smelter Look-up'!$J:$J,0))</f>
        <v>#N/A</v>
      </c>
      <c r="W2272" s="276"/>
      <c r="X2272" s="276">
        <f t="shared" ca="1" si="322"/>
        <v>0</v>
      </c>
      <c r="Y2272" s="276"/>
      <c r="Z2272" s="276"/>
      <c r="AB2272" s="278" t="str">
        <f t="shared" si="323"/>
        <v/>
      </c>
    </row>
    <row r="2273" spans="1:28" s="277" customFormat="1" ht="20.25">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21"/>
        <v/>
      </c>
      <c r="T2273" s="225" t="str">
        <f ca="1">IF(B2273="","",IF(ISERROR(MATCH($J2273,SorP!$B$1:$B$6230,0)),"",INDIRECT("'SorP'!$A$"&amp;MATCH($J2273,SorP!$B$1:$B$6230,0))))</f>
        <v/>
      </c>
      <c r="U2273" s="241"/>
      <c r="V2273" s="275" t="e">
        <f>IF(C2273="",NA(),MATCH($B2273&amp;$C2273,'Smelter Look-up'!$J:$J,0))</f>
        <v>#N/A</v>
      </c>
      <c r="W2273" s="276"/>
      <c r="X2273" s="276">
        <f t="shared" ca="1" si="322"/>
        <v>0</v>
      </c>
      <c r="Y2273" s="276"/>
      <c r="Z2273" s="276"/>
      <c r="AB2273" s="278" t="str">
        <f t="shared" si="323"/>
        <v/>
      </c>
    </row>
    <row r="2274" spans="1:28" s="277" customFormat="1" ht="20.25">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21"/>
        <v/>
      </c>
      <c r="T2274" s="225" t="str">
        <f ca="1">IF(B2274="","",IF(ISERROR(MATCH($J2274,SorP!$B$1:$B$6230,0)),"",INDIRECT("'SorP'!$A$"&amp;MATCH($J2274,SorP!$B$1:$B$6230,0))))</f>
        <v/>
      </c>
      <c r="U2274" s="241"/>
      <c r="V2274" s="275" t="e">
        <f>IF(C2274="",NA(),MATCH($B2274&amp;$C2274,'Smelter Look-up'!$J:$J,0))</f>
        <v>#N/A</v>
      </c>
      <c r="W2274" s="276"/>
      <c r="X2274" s="276">
        <f t="shared" ca="1" si="322"/>
        <v>0</v>
      </c>
      <c r="Y2274" s="276"/>
      <c r="Z2274" s="276"/>
      <c r="AB2274" s="278" t="str">
        <f t="shared" si="323"/>
        <v/>
      </c>
    </row>
    <row r="2275" spans="1:28" s="277" customFormat="1" ht="20.25">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21"/>
        <v/>
      </c>
      <c r="T2275" s="225" t="str">
        <f ca="1">IF(B2275="","",IF(ISERROR(MATCH($J2275,SorP!$B$1:$B$6230,0)),"",INDIRECT("'SorP'!$A$"&amp;MATCH($J2275,SorP!$B$1:$B$6230,0))))</f>
        <v/>
      </c>
      <c r="U2275" s="241"/>
      <c r="V2275" s="275" t="e">
        <f>IF(C2275="",NA(),MATCH($B2275&amp;$C2275,'Smelter Look-up'!$J:$J,0))</f>
        <v>#N/A</v>
      </c>
      <c r="W2275" s="276"/>
      <c r="X2275" s="276">
        <f t="shared" ca="1" si="322"/>
        <v>0</v>
      </c>
      <c r="Y2275" s="276"/>
      <c r="Z2275" s="276"/>
      <c r="AB2275" s="278" t="str">
        <f t="shared" si="323"/>
        <v/>
      </c>
    </row>
    <row r="2276" spans="1:28" s="277" customFormat="1" ht="20.25">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21"/>
        <v/>
      </c>
      <c r="T2276" s="225" t="str">
        <f ca="1">IF(B2276="","",IF(ISERROR(MATCH($J2276,SorP!$B$1:$B$6230,0)),"",INDIRECT("'SorP'!$A$"&amp;MATCH($J2276,SorP!$B$1:$B$6230,0))))</f>
        <v/>
      </c>
      <c r="U2276" s="241"/>
      <c r="V2276" s="275" t="e">
        <f>IF(C2276="",NA(),MATCH($B2276&amp;$C2276,'Smelter Look-up'!$J:$J,0))</f>
        <v>#N/A</v>
      </c>
      <c r="W2276" s="276"/>
      <c r="X2276" s="276">
        <f t="shared" ca="1" si="322"/>
        <v>0</v>
      </c>
      <c r="Y2276" s="276"/>
      <c r="Z2276" s="276"/>
      <c r="AB2276" s="278" t="str">
        <f t="shared" si="323"/>
        <v/>
      </c>
    </row>
    <row r="2277" spans="1:28" s="277" customFormat="1" ht="20.25">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21"/>
        <v/>
      </c>
      <c r="T2277" s="225" t="str">
        <f ca="1">IF(B2277="","",IF(ISERROR(MATCH($J2277,SorP!$B$1:$B$6230,0)),"",INDIRECT("'SorP'!$A$"&amp;MATCH($J2277,SorP!$B$1:$B$6230,0))))</f>
        <v/>
      </c>
      <c r="U2277" s="241"/>
      <c r="V2277" s="275" t="e">
        <f>IF(C2277="",NA(),MATCH($B2277&amp;$C2277,'Smelter Look-up'!$J:$J,0))</f>
        <v>#N/A</v>
      </c>
      <c r="W2277" s="276"/>
      <c r="X2277" s="276">
        <f t="shared" ca="1" si="322"/>
        <v>0</v>
      </c>
      <c r="Y2277" s="276"/>
      <c r="Z2277" s="276"/>
      <c r="AB2277" s="278" t="str">
        <f t="shared" si="323"/>
        <v/>
      </c>
    </row>
    <row r="2278" spans="1:28" s="277" customFormat="1" ht="20.25">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21"/>
        <v/>
      </c>
      <c r="T2278" s="225" t="str">
        <f ca="1">IF(B2278="","",IF(ISERROR(MATCH($J2278,SorP!$B$1:$B$6230,0)),"",INDIRECT("'SorP'!$A$"&amp;MATCH($J2278,SorP!$B$1:$B$6230,0))))</f>
        <v/>
      </c>
      <c r="U2278" s="241"/>
      <c r="V2278" s="275" t="e">
        <f>IF(C2278="",NA(),MATCH($B2278&amp;$C2278,'Smelter Look-up'!$J:$J,0))</f>
        <v>#N/A</v>
      </c>
      <c r="W2278" s="276"/>
      <c r="X2278" s="276">
        <f t="shared" ca="1" si="322"/>
        <v>0</v>
      </c>
      <c r="Y2278" s="276"/>
      <c r="Z2278" s="276"/>
      <c r="AB2278" s="278" t="str">
        <f t="shared" si="323"/>
        <v/>
      </c>
    </row>
    <row r="2279" spans="1:28" s="277" customFormat="1" ht="20.25">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21"/>
        <v/>
      </c>
      <c r="T2279" s="225" t="str">
        <f ca="1">IF(B2279="","",IF(ISERROR(MATCH($J2279,SorP!$B$1:$B$6230,0)),"",INDIRECT("'SorP'!$A$"&amp;MATCH($J2279,SorP!$B$1:$B$6230,0))))</f>
        <v/>
      </c>
      <c r="U2279" s="241"/>
      <c r="V2279" s="275" t="e">
        <f>IF(C2279="",NA(),MATCH($B2279&amp;$C2279,'Smelter Look-up'!$J:$J,0))</f>
        <v>#N/A</v>
      </c>
      <c r="W2279" s="276"/>
      <c r="X2279" s="276">
        <f t="shared" ca="1" si="322"/>
        <v>0</v>
      </c>
      <c r="Y2279" s="276"/>
      <c r="Z2279" s="276"/>
      <c r="AB2279" s="278" t="str">
        <f t="shared" si="323"/>
        <v/>
      </c>
    </row>
    <row r="2280" spans="1:28" s="277" customFormat="1" ht="20.25">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21"/>
        <v/>
      </c>
      <c r="T2280" s="225" t="str">
        <f ca="1">IF(B2280="","",IF(ISERROR(MATCH($J2280,SorP!$B$1:$B$6230,0)),"",INDIRECT("'SorP'!$A$"&amp;MATCH($J2280,SorP!$B$1:$B$6230,0))))</f>
        <v/>
      </c>
      <c r="U2280" s="241"/>
      <c r="V2280" s="275" t="e">
        <f>IF(C2280="",NA(),MATCH($B2280&amp;$C2280,'Smelter Look-up'!$J:$J,0))</f>
        <v>#N/A</v>
      </c>
      <c r="W2280" s="276"/>
      <c r="X2280" s="276">
        <f t="shared" ca="1" si="322"/>
        <v>0</v>
      </c>
      <c r="Y2280" s="276"/>
      <c r="Z2280" s="276"/>
      <c r="AB2280" s="278" t="str">
        <f t="shared" si="323"/>
        <v/>
      </c>
    </row>
    <row r="2281" spans="1:28" s="277" customFormat="1" ht="20.25">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21"/>
        <v/>
      </c>
      <c r="T2281" s="225" t="str">
        <f ca="1">IF(B2281="","",IF(ISERROR(MATCH($J2281,SorP!$B$1:$B$6230,0)),"",INDIRECT("'SorP'!$A$"&amp;MATCH($J2281,SorP!$B$1:$B$6230,0))))</f>
        <v/>
      </c>
      <c r="U2281" s="241"/>
      <c r="V2281" s="275" t="e">
        <f>IF(C2281="",NA(),MATCH($B2281&amp;$C2281,'Smelter Look-up'!$J:$J,0))</f>
        <v>#N/A</v>
      </c>
      <c r="W2281" s="276"/>
      <c r="X2281" s="276">
        <f t="shared" ca="1" si="322"/>
        <v>0</v>
      </c>
      <c r="Y2281" s="276"/>
      <c r="Z2281" s="276"/>
      <c r="AB2281" s="278" t="str">
        <f t="shared" si="323"/>
        <v/>
      </c>
    </row>
    <row r="2282" spans="1:28" s="277" customFormat="1" ht="20.25">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21"/>
        <v/>
      </c>
      <c r="T2282" s="225" t="str">
        <f ca="1">IF(B2282="","",IF(ISERROR(MATCH($J2282,SorP!$B$1:$B$6230,0)),"",INDIRECT("'SorP'!$A$"&amp;MATCH($J2282,SorP!$B$1:$B$6230,0))))</f>
        <v/>
      </c>
      <c r="U2282" s="241"/>
      <c r="V2282" s="275" t="e">
        <f>IF(C2282="",NA(),MATCH($B2282&amp;$C2282,'Smelter Look-up'!$J:$J,0))</f>
        <v>#N/A</v>
      </c>
      <c r="W2282" s="276"/>
      <c r="X2282" s="276">
        <f t="shared" ca="1" si="322"/>
        <v>0</v>
      </c>
      <c r="Y2282" s="276"/>
      <c r="Z2282" s="276"/>
      <c r="AB2282" s="278" t="str">
        <f t="shared" si="323"/>
        <v/>
      </c>
    </row>
    <row r="2283" spans="1:28" s="277" customFormat="1" ht="20.25">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21"/>
        <v/>
      </c>
      <c r="T2283" s="225" t="str">
        <f ca="1">IF(B2283="","",IF(ISERROR(MATCH($J2283,SorP!$B$1:$B$6230,0)),"",INDIRECT("'SorP'!$A$"&amp;MATCH($J2283,SorP!$B$1:$B$6230,0))))</f>
        <v/>
      </c>
      <c r="U2283" s="241"/>
      <c r="V2283" s="275" t="e">
        <f>IF(C2283="",NA(),MATCH($B2283&amp;$C2283,'Smelter Look-up'!$J:$J,0))</f>
        <v>#N/A</v>
      </c>
      <c r="W2283" s="276"/>
      <c r="X2283" s="276">
        <f t="shared" ca="1" si="322"/>
        <v>0</v>
      </c>
      <c r="Y2283" s="276"/>
      <c r="Z2283" s="276"/>
      <c r="AB2283" s="278" t="str">
        <f t="shared" si="323"/>
        <v/>
      </c>
    </row>
    <row r="2284" spans="1:28" s="277" customFormat="1" ht="20.25">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21"/>
        <v/>
      </c>
      <c r="T2284" s="225" t="str">
        <f ca="1">IF(B2284="","",IF(ISERROR(MATCH($J2284,SorP!$B$1:$B$6230,0)),"",INDIRECT("'SorP'!$A$"&amp;MATCH($J2284,SorP!$B$1:$B$6230,0))))</f>
        <v/>
      </c>
      <c r="U2284" s="241"/>
      <c r="V2284" s="275" t="e">
        <f>IF(C2284="",NA(),MATCH($B2284&amp;$C2284,'Smelter Look-up'!$J:$J,0))</f>
        <v>#N/A</v>
      </c>
      <c r="W2284" s="276"/>
      <c r="X2284" s="276">
        <f t="shared" ca="1" si="322"/>
        <v>0</v>
      </c>
      <c r="Y2284" s="276"/>
      <c r="Z2284" s="276"/>
      <c r="AB2284" s="278" t="str">
        <f t="shared" si="323"/>
        <v/>
      </c>
    </row>
    <row r="2285" spans="1:28" s="277" customFormat="1" ht="20.25">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21"/>
        <v/>
      </c>
      <c r="T2285" s="225" t="str">
        <f ca="1">IF(B2285="","",IF(ISERROR(MATCH($J2285,SorP!$B$1:$B$6230,0)),"",INDIRECT("'SorP'!$A$"&amp;MATCH($J2285,SorP!$B$1:$B$6230,0))))</f>
        <v/>
      </c>
      <c r="U2285" s="241"/>
      <c r="V2285" s="275" t="e">
        <f>IF(C2285="",NA(),MATCH($B2285&amp;$C2285,'Smelter Look-up'!$J:$J,0))</f>
        <v>#N/A</v>
      </c>
      <c r="W2285" s="276"/>
      <c r="X2285" s="276">
        <f t="shared" ca="1" si="322"/>
        <v>0</v>
      </c>
      <c r="Y2285" s="276"/>
      <c r="Z2285" s="276"/>
      <c r="AB2285" s="278" t="str">
        <f t="shared" si="323"/>
        <v/>
      </c>
    </row>
    <row r="2286" spans="1:28" s="277" customFormat="1" ht="20.25">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21"/>
        <v/>
      </c>
      <c r="T2286" s="225" t="str">
        <f ca="1">IF(B2286="","",IF(ISERROR(MATCH($J2286,SorP!$B$1:$B$6230,0)),"",INDIRECT("'SorP'!$A$"&amp;MATCH($J2286,SorP!$B$1:$B$6230,0))))</f>
        <v/>
      </c>
      <c r="U2286" s="241"/>
      <c r="V2286" s="275" t="e">
        <f>IF(C2286="",NA(),MATCH($B2286&amp;$C2286,'Smelter Look-up'!$J:$J,0))</f>
        <v>#N/A</v>
      </c>
      <c r="W2286" s="276"/>
      <c r="X2286" s="276">
        <f t="shared" ca="1" si="322"/>
        <v>0</v>
      </c>
      <c r="Y2286" s="276"/>
      <c r="Z2286" s="276"/>
      <c r="AB2286" s="278" t="str">
        <f t="shared" si="323"/>
        <v/>
      </c>
    </row>
    <row r="2287" spans="1:28" s="277" customFormat="1" ht="20.25">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321"/>
        <v/>
      </c>
      <c r="T2287" s="225" t="str">
        <f ca="1">IF(B2287="","",IF(ISERROR(MATCH($J2287,SorP!$B$1:$B$6230,0)),"",INDIRECT("'SorP'!$A$"&amp;MATCH($J2287,SorP!$B$1:$B$6230,0))))</f>
        <v/>
      </c>
      <c r="U2287" s="241"/>
      <c r="V2287" s="275" t="e">
        <f>IF(C2287="",NA(),MATCH($B2287&amp;$C2287,'Smelter Look-up'!$J:$J,0))</f>
        <v>#N/A</v>
      </c>
      <c r="W2287" s="276"/>
      <c r="X2287" s="276">
        <f t="shared" ca="1" si="322"/>
        <v>0</v>
      </c>
      <c r="Y2287" s="276"/>
      <c r="Z2287" s="276"/>
      <c r="AB2287" s="278" t="str">
        <f t="shared" si="323"/>
        <v/>
      </c>
    </row>
    <row r="2288" spans="1:28" s="277" customFormat="1" ht="20.25">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321"/>
        <v/>
      </c>
      <c r="T2288" s="225" t="str">
        <f ca="1">IF(B2288="","",IF(ISERROR(MATCH($J2288,SorP!$B$1:$B$6230,0)),"",INDIRECT("'SorP'!$A$"&amp;MATCH($J2288,SorP!$B$1:$B$6230,0))))</f>
        <v/>
      </c>
      <c r="U2288" s="241"/>
      <c r="V2288" s="275" t="e">
        <f>IF(C2288="",NA(),MATCH($B2288&amp;$C2288,'Smelter Look-up'!$J:$J,0))</f>
        <v>#N/A</v>
      </c>
      <c r="W2288" s="276"/>
      <c r="X2288" s="276">
        <f t="shared" ca="1" si="322"/>
        <v>0</v>
      </c>
      <c r="Y2288" s="276"/>
      <c r="Z2288" s="276"/>
      <c r="AB2288" s="278" t="str">
        <f t="shared" si="323"/>
        <v/>
      </c>
    </row>
    <row r="2289" spans="1:28" s="277" customFormat="1" ht="20.25">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321"/>
        <v/>
      </c>
      <c r="T2289" s="225" t="str">
        <f ca="1">IF(B2289="","",IF(ISERROR(MATCH($J2289,SorP!$B$1:$B$6230,0)),"",INDIRECT("'SorP'!$A$"&amp;MATCH($J2289,SorP!$B$1:$B$6230,0))))</f>
        <v/>
      </c>
      <c r="U2289" s="241"/>
      <c r="V2289" s="275" t="e">
        <f>IF(C2289="",NA(),MATCH($B2289&amp;$C2289,'Smelter Look-up'!$J:$J,0))</f>
        <v>#N/A</v>
      </c>
      <c r="W2289" s="276"/>
      <c r="X2289" s="276">
        <f t="shared" ca="1" si="322"/>
        <v>0</v>
      </c>
      <c r="Y2289" s="276"/>
      <c r="Z2289" s="276"/>
      <c r="AB2289" s="278" t="str">
        <f t="shared" si="323"/>
        <v/>
      </c>
    </row>
    <row r="2290" spans="1:28" s="277" customFormat="1" ht="20.25">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321"/>
        <v/>
      </c>
      <c r="T2290" s="225" t="str">
        <f ca="1">IF(B2290="","",IF(ISERROR(MATCH($J2290,SorP!$B$1:$B$6230,0)),"",INDIRECT("'SorP'!$A$"&amp;MATCH($J2290,SorP!$B$1:$B$6230,0))))</f>
        <v/>
      </c>
      <c r="U2290" s="241"/>
      <c r="V2290" s="275" t="e">
        <f>IF(C2290="",NA(),MATCH($B2290&amp;$C2290,'Smelter Look-up'!$J:$J,0))</f>
        <v>#N/A</v>
      </c>
      <c r="W2290" s="276"/>
      <c r="X2290" s="276">
        <f t="shared" ca="1" si="322"/>
        <v>0</v>
      </c>
      <c r="Y2290" s="276"/>
      <c r="Z2290" s="276"/>
      <c r="AB2290" s="278" t="str">
        <f t="shared" si="323"/>
        <v/>
      </c>
    </row>
    <row r="2291" spans="1:28" s="277" customFormat="1" ht="20.25">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21"/>
        <v/>
      </c>
      <c r="T2291" s="225" t="str">
        <f ca="1">IF(B2291="","",IF(ISERROR(MATCH($J2291,SorP!$B$1:$B$6230,0)),"",INDIRECT("'SorP'!$A$"&amp;MATCH($J2291,SorP!$B$1:$B$6230,0))))</f>
        <v/>
      </c>
      <c r="U2291" s="241"/>
      <c r="V2291" s="275" t="e">
        <f>IF(C2291="",NA(),MATCH($B2291&amp;$C2291,'Smelter Look-up'!$J:$J,0))</f>
        <v>#N/A</v>
      </c>
      <c r="W2291" s="276"/>
      <c r="X2291" s="276">
        <f t="shared" ca="1" si="322"/>
        <v>0</v>
      </c>
      <c r="Y2291" s="276"/>
      <c r="Z2291" s="276"/>
      <c r="AB2291" s="278" t="str">
        <f t="shared" si="323"/>
        <v/>
      </c>
    </row>
    <row r="2292" spans="1:28" s="277" customFormat="1" ht="20.25">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21"/>
        <v/>
      </c>
      <c r="T2292" s="225" t="str">
        <f ca="1">IF(B2292="","",IF(ISERROR(MATCH($J2292,SorP!$B$1:$B$6230,0)),"",INDIRECT("'SorP'!$A$"&amp;MATCH($J2292,SorP!$B$1:$B$6230,0))))</f>
        <v/>
      </c>
      <c r="U2292" s="241"/>
      <c r="V2292" s="275" t="e">
        <f>IF(C2292="",NA(),MATCH($B2292&amp;$C2292,'Smelter Look-up'!$J:$J,0))</f>
        <v>#N/A</v>
      </c>
      <c r="W2292" s="276"/>
      <c r="X2292" s="276">
        <f t="shared" ca="1" si="322"/>
        <v>0</v>
      </c>
      <c r="Y2292" s="276"/>
      <c r="Z2292" s="276"/>
      <c r="AB2292" s="278" t="str">
        <f t="shared" si="323"/>
        <v/>
      </c>
    </row>
    <row r="2293" spans="1:28" s="277" customFormat="1" ht="20.25">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21"/>
        <v/>
      </c>
      <c r="T2293" s="225" t="str">
        <f ca="1">IF(B2293="","",IF(ISERROR(MATCH($J2293,SorP!$B$1:$B$6230,0)),"",INDIRECT("'SorP'!$A$"&amp;MATCH($J2293,SorP!$B$1:$B$6230,0))))</f>
        <v/>
      </c>
      <c r="U2293" s="241"/>
      <c r="V2293" s="275" t="e">
        <f>IF(C2293="",NA(),MATCH($B2293&amp;$C2293,'Smelter Look-up'!$J:$J,0))</f>
        <v>#N/A</v>
      </c>
      <c r="W2293" s="276"/>
      <c r="X2293" s="276">
        <f t="shared" ca="1" si="322"/>
        <v>0</v>
      </c>
      <c r="Y2293" s="276"/>
      <c r="Z2293" s="276"/>
      <c r="AB2293" s="278" t="str">
        <f t="shared" si="323"/>
        <v/>
      </c>
    </row>
    <row r="2294" spans="1:28" s="277" customFormat="1" ht="20.25">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21"/>
        <v/>
      </c>
      <c r="T2294" s="225" t="str">
        <f ca="1">IF(B2294="","",IF(ISERROR(MATCH($J2294,SorP!$B$1:$B$6230,0)),"",INDIRECT("'SorP'!$A$"&amp;MATCH($J2294,SorP!$B$1:$B$6230,0))))</f>
        <v/>
      </c>
      <c r="U2294" s="241"/>
      <c r="V2294" s="275" t="e">
        <f>IF(C2294="",NA(),MATCH($B2294&amp;$C2294,'Smelter Look-up'!$J:$J,0))</f>
        <v>#N/A</v>
      </c>
      <c r="W2294" s="276"/>
      <c r="X2294" s="276">
        <f t="shared" ca="1" si="322"/>
        <v>0</v>
      </c>
      <c r="Y2294" s="276"/>
      <c r="Z2294" s="276"/>
      <c r="AB2294" s="278" t="str">
        <f t="shared" si="323"/>
        <v/>
      </c>
    </row>
    <row r="2295" spans="1:28" s="277" customFormat="1" ht="20.25">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21"/>
        <v/>
      </c>
      <c r="T2295" s="225" t="str">
        <f ca="1">IF(B2295="","",IF(ISERROR(MATCH($J2295,SorP!$B$1:$B$6230,0)),"",INDIRECT("'SorP'!$A$"&amp;MATCH($J2295,SorP!$B$1:$B$6230,0))))</f>
        <v/>
      </c>
      <c r="U2295" s="241"/>
      <c r="V2295" s="275" t="e">
        <f>IF(C2295="",NA(),MATCH($B2295&amp;$C2295,'Smelter Look-up'!$J:$J,0))</f>
        <v>#N/A</v>
      </c>
      <c r="W2295" s="276"/>
      <c r="X2295" s="276">
        <f t="shared" ca="1" si="322"/>
        <v>0</v>
      </c>
      <c r="Y2295" s="276"/>
      <c r="Z2295" s="276"/>
      <c r="AB2295" s="278" t="str">
        <f t="shared" si="323"/>
        <v/>
      </c>
    </row>
    <row r="2296" spans="1:28" s="277" customFormat="1" ht="20.25">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21"/>
        <v/>
      </c>
      <c r="T2296" s="225" t="str">
        <f ca="1">IF(B2296="","",IF(ISERROR(MATCH($J2296,SorP!$B$1:$B$6230,0)),"",INDIRECT("'SorP'!$A$"&amp;MATCH($J2296,SorP!$B$1:$B$6230,0))))</f>
        <v/>
      </c>
      <c r="U2296" s="241"/>
      <c r="V2296" s="275" t="e">
        <f>IF(C2296="",NA(),MATCH($B2296&amp;$C2296,'Smelter Look-up'!$J:$J,0))</f>
        <v>#N/A</v>
      </c>
      <c r="W2296" s="276"/>
      <c r="X2296" s="276">
        <f t="shared" ca="1" si="322"/>
        <v>0</v>
      </c>
      <c r="Y2296" s="276"/>
      <c r="Z2296" s="276"/>
      <c r="AB2296" s="278" t="str">
        <f t="shared" si="323"/>
        <v/>
      </c>
    </row>
    <row r="2297" spans="1:28" s="277" customFormat="1" ht="20.25">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21"/>
        <v/>
      </c>
      <c r="T2297" s="225" t="str">
        <f ca="1">IF(B2297="","",IF(ISERROR(MATCH($J2297,SorP!$B$1:$B$6230,0)),"",INDIRECT("'SorP'!$A$"&amp;MATCH($J2297,SorP!$B$1:$B$6230,0))))</f>
        <v/>
      </c>
      <c r="U2297" s="241"/>
      <c r="V2297" s="275" t="e">
        <f>IF(C2297="",NA(),MATCH($B2297&amp;$C2297,'Smelter Look-up'!$J:$J,0))</f>
        <v>#N/A</v>
      </c>
      <c r="W2297" s="276"/>
      <c r="X2297" s="276">
        <f t="shared" ca="1" si="322"/>
        <v>0</v>
      </c>
      <c r="Y2297" s="276"/>
      <c r="Z2297" s="276"/>
      <c r="AB2297" s="278" t="str">
        <f t="shared" si="323"/>
        <v/>
      </c>
    </row>
    <row r="2298" spans="1:28" s="277" customFormat="1" ht="20.25">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321"/>
        <v/>
      </c>
      <c r="T2298" s="225" t="str">
        <f ca="1">IF(B2298="","",IF(ISERROR(MATCH($J2298,SorP!$B$1:$B$6230,0)),"",INDIRECT("'SorP'!$A$"&amp;MATCH($J2298,SorP!$B$1:$B$6230,0))))</f>
        <v/>
      </c>
      <c r="U2298" s="241"/>
      <c r="V2298" s="275" t="e">
        <f>IF(C2298="",NA(),MATCH($B2298&amp;$C2298,'Smelter Look-up'!$J:$J,0))</f>
        <v>#N/A</v>
      </c>
      <c r="W2298" s="276"/>
      <c r="X2298" s="276">
        <f t="shared" ca="1" si="322"/>
        <v>0</v>
      </c>
      <c r="Y2298" s="276"/>
      <c r="Z2298" s="276"/>
      <c r="AB2298" s="278" t="str">
        <f t="shared" si="323"/>
        <v/>
      </c>
    </row>
    <row r="2299" spans="1:28" s="277" customFormat="1" ht="20.25">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ref="S2299" ca="1" si="324">IF(B2299="","",IF(ISERROR(MATCH($E2299,CL,0)),"Unknown",INDIRECT("'C'!$A$"&amp;MATCH($E2299,CL,0)+1)))</f>
        <v/>
      </c>
      <c r="T2299" s="225" t="str">
        <f ca="1">IF(B2299="","",IF(ISERROR(MATCH($J2299,SorP!$B$1:$B$6230,0)),"",INDIRECT("'SorP'!$A$"&amp;MATCH($J2299,SorP!$B$1:$B$6230,0))))</f>
        <v/>
      </c>
      <c r="U2299" s="241"/>
      <c r="V2299" s="275" t="e">
        <f>IF(C2299="",NA(),MATCH($B2299&amp;$C2299,'Smelter Look-up'!$J:$J,0))</f>
        <v>#N/A</v>
      </c>
      <c r="W2299" s="276"/>
      <c r="X2299" s="276">
        <f t="shared" ref="X2299" ca="1" si="325">IF(AND(C2299="Smelter not listed",OR(LEN(D2299)=0,LEN(E2299)=0)),1,0)</f>
        <v>0</v>
      </c>
      <c r="Y2299" s="276"/>
      <c r="Z2299" s="276"/>
      <c r="AB2299" s="278" t="str">
        <f t="shared" ref="AB2299" si="326">B2299&amp;C2299</f>
        <v/>
      </c>
    </row>
    <row r="2300" spans="1:28" s="277" customFormat="1" ht="20.25">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ref="S2300:S2331" ca="1" si="327">IF(B2300="","",IF(ISERROR(MATCH($E2300,CL,0)),"Unknown",INDIRECT("'C'!$A$"&amp;MATCH($E2300,CL,0)+1)))</f>
        <v/>
      </c>
      <c r="T2300" s="225" t="str">
        <f ca="1">IF(B2300="","",IF(ISERROR(MATCH($J2300,SorP!$B$1:$B$6230,0)),"",INDIRECT("'SorP'!$A$"&amp;MATCH($J2300,SorP!$B$1:$B$6230,0))))</f>
        <v/>
      </c>
      <c r="U2300" s="241"/>
      <c r="V2300" s="275" t="e">
        <f>IF(C2300="",NA(),MATCH($B2300&amp;$C2300,'Smelter Look-up'!$J:$J,0))</f>
        <v>#N/A</v>
      </c>
      <c r="W2300" s="276"/>
      <c r="X2300" s="276">
        <f t="shared" ref="X2300:X2331" ca="1" si="328">IF(AND(C2300="Smelter not listed",OR(LEN(D2300)=0,LEN(E2300)=0)),1,0)</f>
        <v>0</v>
      </c>
      <c r="Y2300" s="276"/>
      <c r="Z2300" s="276"/>
      <c r="AB2300" s="278" t="str">
        <f t="shared" ref="AB2300:AB2331" si="329">B2300&amp;C2300</f>
        <v/>
      </c>
    </row>
    <row r="2301" spans="1:28" s="277" customFormat="1" ht="20.25">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27"/>
        <v/>
      </c>
      <c r="T2301" s="225" t="str">
        <f ca="1">IF(B2301="","",IF(ISERROR(MATCH($J2301,SorP!$B$1:$B$6230,0)),"",INDIRECT("'SorP'!$A$"&amp;MATCH($J2301,SorP!$B$1:$B$6230,0))))</f>
        <v/>
      </c>
      <c r="U2301" s="241"/>
      <c r="V2301" s="275" t="e">
        <f>IF(C2301="",NA(),MATCH($B2301&amp;$C2301,'Smelter Look-up'!$J:$J,0))</f>
        <v>#N/A</v>
      </c>
      <c r="W2301" s="276"/>
      <c r="X2301" s="276">
        <f t="shared" ca="1" si="328"/>
        <v>0</v>
      </c>
      <c r="Y2301" s="276"/>
      <c r="Z2301" s="276"/>
      <c r="AB2301" s="278" t="str">
        <f t="shared" si="329"/>
        <v/>
      </c>
    </row>
    <row r="2302" spans="1:28" s="277" customFormat="1" ht="20.25">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27"/>
        <v/>
      </c>
      <c r="T2302" s="225" t="str">
        <f ca="1">IF(B2302="","",IF(ISERROR(MATCH($J2302,SorP!$B$1:$B$6230,0)),"",INDIRECT("'SorP'!$A$"&amp;MATCH($J2302,SorP!$B$1:$B$6230,0))))</f>
        <v/>
      </c>
      <c r="U2302" s="241"/>
      <c r="V2302" s="275" t="e">
        <f>IF(C2302="",NA(),MATCH($B2302&amp;$C2302,'Smelter Look-up'!$J:$J,0))</f>
        <v>#N/A</v>
      </c>
      <c r="W2302" s="276"/>
      <c r="X2302" s="276">
        <f t="shared" ca="1" si="328"/>
        <v>0</v>
      </c>
      <c r="Y2302" s="276"/>
      <c r="Z2302" s="276"/>
      <c r="AB2302" s="278" t="str">
        <f t="shared" si="329"/>
        <v/>
      </c>
    </row>
    <row r="2303" spans="1:28" s="277" customFormat="1" ht="20.25">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27"/>
        <v/>
      </c>
      <c r="T2303" s="225" t="str">
        <f ca="1">IF(B2303="","",IF(ISERROR(MATCH($J2303,SorP!$B$1:$B$6230,0)),"",INDIRECT("'SorP'!$A$"&amp;MATCH($J2303,SorP!$B$1:$B$6230,0))))</f>
        <v/>
      </c>
      <c r="U2303" s="241"/>
      <c r="V2303" s="275" t="e">
        <f>IF(C2303="",NA(),MATCH($B2303&amp;$C2303,'Smelter Look-up'!$J:$J,0))</f>
        <v>#N/A</v>
      </c>
      <c r="W2303" s="276"/>
      <c r="X2303" s="276">
        <f t="shared" ca="1" si="328"/>
        <v>0</v>
      </c>
      <c r="Y2303" s="276"/>
      <c r="Z2303" s="276"/>
      <c r="AB2303" s="278" t="str">
        <f t="shared" si="329"/>
        <v/>
      </c>
    </row>
    <row r="2304" spans="1:28" s="277" customFormat="1" ht="20.25">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27"/>
        <v/>
      </c>
      <c r="T2304" s="225" t="str">
        <f ca="1">IF(B2304="","",IF(ISERROR(MATCH($J2304,SorP!$B$1:$B$6230,0)),"",INDIRECT("'SorP'!$A$"&amp;MATCH($J2304,SorP!$B$1:$B$6230,0))))</f>
        <v/>
      </c>
      <c r="U2304" s="241"/>
      <c r="V2304" s="275" t="e">
        <f>IF(C2304="",NA(),MATCH($B2304&amp;$C2304,'Smelter Look-up'!$J:$J,0))</f>
        <v>#N/A</v>
      </c>
      <c r="W2304" s="276"/>
      <c r="X2304" s="276">
        <f t="shared" ca="1" si="328"/>
        <v>0</v>
      </c>
      <c r="Y2304" s="276"/>
      <c r="Z2304" s="276"/>
      <c r="AB2304" s="278" t="str">
        <f t="shared" si="329"/>
        <v/>
      </c>
    </row>
    <row r="2305" spans="1:28" s="277" customFormat="1" ht="20.25">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27"/>
        <v/>
      </c>
      <c r="T2305" s="225" t="str">
        <f ca="1">IF(B2305="","",IF(ISERROR(MATCH($J2305,SorP!$B$1:$B$6230,0)),"",INDIRECT("'SorP'!$A$"&amp;MATCH($J2305,SorP!$B$1:$B$6230,0))))</f>
        <v/>
      </c>
      <c r="U2305" s="241"/>
      <c r="V2305" s="275" t="e">
        <f>IF(C2305="",NA(),MATCH($B2305&amp;$C2305,'Smelter Look-up'!$J:$J,0))</f>
        <v>#N/A</v>
      </c>
      <c r="W2305" s="276"/>
      <c r="X2305" s="276">
        <f t="shared" ca="1" si="328"/>
        <v>0</v>
      </c>
      <c r="Y2305" s="276"/>
      <c r="Z2305" s="276"/>
      <c r="AB2305" s="278" t="str">
        <f t="shared" si="329"/>
        <v/>
      </c>
    </row>
    <row r="2306" spans="1:28" s="277" customFormat="1" ht="20.25">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27"/>
        <v/>
      </c>
      <c r="T2306" s="225" t="str">
        <f ca="1">IF(B2306="","",IF(ISERROR(MATCH($J2306,SorP!$B$1:$B$6230,0)),"",INDIRECT("'SorP'!$A$"&amp;MATCH($J2306,SorP!$B$1:$B$6230,0))))</f>
        <v/>
      </c>
      <c r="U2306" s="241"/>
      <c r="V2306" s="275" t="e">
        <f>IF(C2306="",NA(),MATCH($B2306&amp;$C2306,'Smelter Look-up'!$J:$J,0))</f>
        <v>#N/A</v>
      </c>
      <c r="W2306" s="276"/>
      <c r="X2306" s="276">
        <f t="shared" ca="1" si="328"/>
        <v>0</v>
      </c>
      <c r="Y2306" s="276"/>
      <c r="Z2306" s="276"/>
      <c r="AB2306" s="278" t="str">
        <f t="shared" si="329"/>
        <v/>
      </c>
    </row>
    <row r="2307" spans="1:28" s="277" customFormat="1" ht="20.25">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27"/>
        <v/>
      </c>
      <c r="T2307" s="225" t="str">
        <f ca="1">IF(B2307="","",IF(ISERROR(MATCH($J2307,SorP!$B$1:$B$6230,0)),"",INDIRECT("'SorP'!$A$"&amp;MATCH($J2307,SorP!$B$1:$B$6230,0))))</f>
        <v/>
      </c>
      <c r="U2307" s="241"/>
      <c r="V2307" s="275" t="e">
        <f>IF(C2307="",NA(),MATCH($B2307&amp;$C2307,'Smelter Look-up'!$J:$J,0))</f>
        <v>#N/A</v>
      </c>
      <c r="W2307" s="276"/>
      <c r="X2307" s="276">
        <f t="shared" ca="1" si="328"/>
        <v>0</v>
      </c>
      <c r="Y2307" s="276"/>
      <c r="Z2307" s="276"/>
      <c r="AB2307" s="278" t="str">
        <f t="shared" si="329"/>
        <v/>
      </c>
    </row>
    <row r="2308" spans="1:28" s="277" customFormat="1" ht="20.25">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27"/>
        <v/>
      </c>
      <c r="T2308" s="225" t="str">
        <f ca="1">IF(B2308="","",IF(ISERROR(MATCH($J2308,SorP!$B$1:$B$6230,0)),"",INDIRECT("'SorP'!$A$"&amp;MATCH($J2308,SorP!$B$1:$B$6230,0))))</f>
        <v/>
      </c>
      <c r="U2308" s="241"/>
      <c r="V2308" s="275" t="e">
        <f>IF(C2308="",NA(),MATCH($B2308&amp;$C2308,'Smelter Look-up'!$J:$J,0))</f>
        <v>#N/A</v>
      </c>
      <c r="W2308" s="276"/>
      <c r="X2308" s="276">
        <f t="shared" ca="1" si="328"/>
        <v>0</v>
      </c>
      <c r="Y2308" s="276"/>
      <c r="Z2308" s="276"/>
      <c r="AB2308" s="278" t="str">
        <f t="shared" si="329"/>
        <v/>
      </c>
    </row>
    <row r="2309" spans="1:28" s="277" customFormat="1" ht="20.25">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27"/>
        <v/>
      </c>
      <c r="T2309" s="225" t="str">
        <f ca="1">IF(B2309="","",IF(ISERROR(MATCH($J2309,SorP!$B$1:$B$6230,0)),"",INDIRECT("'SorP'!$A$"&amp;MATCH($J2309,SorP!$B$1:$B$6230,0))))</f>
        <v/>
      </c>
      <c r="U2309" s="241"/>
      <c r="V2309" s="275" t="e">
        <f>IF(C2309="",NA(),MATCH($B2309&amp;$C2309,'Smelter Look-up'!$J:$J,0))</f>
        <v>#N/A</v>
      </c>
      <c r="W2309" s="276"/>
      <c r="X2309" s="276">
        <f t="shared" ca="1" si="328"/>
        <v>0</v>
      </c>
      <c r="Y2309" s="276"/>
      <c r="Z2309" s="276"/>
      <c r="AB2309" s="278" t="str">
        <f t="shared" si="329"/>
        <v/>
      </c>
    </row>
    <row r="2310" spans="1:28" s="277" customFormat="1" ht="20.25">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27"/>
        <v/>
      </c>
      <c r="T2310" s="225" t="str">
        <f ca="1">IF(B2310="","",IF(ISERROR(MATCH($J2310,SorP!$B$1:$B$6230,0)),"",INDIRECT("'SorP'!$A$"&amp;MATCH($J2310,SorP!$B$1:$B$6230,0))))</f>
        <v/>
      </c>
      <c r="U2310" s="241"/>
      <c r="V2310" s="275" t="e">
        <f>IF(C2310="",NA(),MATCH($B2310&amp;$C2310,'Smelter Look-up'!$J:$J,0))</f>
        <v>#N/A</v>
      </c>
      <c r="W2310" s="276"/>
      <c r="X2310" s="276">
        <f t="shared" ca="1" si="328"/>
        <v>0</v>
      </c>
      <c r="Y2310" s="276"/>
      <c r="Z2310" s="276"/>
      <c r="AB2310" s="278" t="str">
        <f t="shared" si="329"/>
        <v/>
      </c>
    </row>
    <row r="2311" spans="1:28" s="277" customFormat="1" ht="20.25">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27"/>
        <v/>
      </c>
      <c r="T2311" s="225" t="str">
        <f ca="1">IF(B2311="","",IF(ISERROR(MATCH($J2311,SorP!$B$1:$B$6230,0)),"",INDIRECT("'SorP'!$A$"&amp;MATCH($J2311,SorP!$B$1:$B$6230,0))))</f>
        <v/>
      </c>
      <c r="U2311" s="241"/>
      <c r="V2311" s="275" t="e">
        <f>IF(C2311="",NA(),MATCH($B2311&amp;$C2311,'Smelter Look-up'!$J:$J,0))</f>
        <v>#N/A</v>
      </c>
      <c r="W2311" s="276"/>
      <c r="X2311" s="276">
        <f t="shared" ca="1" si="328"/>
        <v>0</v>
      </c>
      <c r="Y2311" s="276"/>
      <c r="Z2311" s="276"/>
      <c r="AB2311" s="278" t="str">
        <f t="shared" si="329"/>
        <v/>
      </c>
    </row>
    <row r="2312" spans="1:28" s="277" customFormat="1" ht="20.25">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27"/>
        <v/>
      </c>
      <c r="T2312" s="225" t="str">
        <f ca="1">IF(B2312="","",IF(ISERROR(MATCH($J2312,SorP!$B$1:$B$6230,0)),"",INDIRECT("'SorP'!$A$"&amp;MATCH($J2312,SorP!$B$1:$B$6230,0))))</f>
        <v/>
      </c>
      <c r="U2312" s="241"/>
      <c r="V2312" s="275" t="e">
        <f>IF(C2312="",NA(),MATCH($B2312&amp;$C2312,'Smelter Look-up'!$J:$J,0))</f>
        <v>#N/A</v>
      </c>
      <c r="W2312" s="276"/>
      <c r="X2312" s="276">
        <f t="shared" ca="1" si="328"/>
        <v>0</v>
      </c>
      <c r="Y2312" s="276"/>
      <c r="Z2312" s="276"/>
      <c r="AB2312" s="278" t="str">
        <f t="shared" si="329"/>
        <v/>
      </c>
    </row>
    <row r="2313" spans="1:28" s="277" customFormat="1" ht="20.25">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27"/>
        <v/>
      </c>
      <c r="T2313" s="225" t="str">
        <f ca="1">IF(B2313="","",IF(ISERROR(MATCH($J2313,SorP!$B$1:$B$6230,0)),"",INDIRECT("'SorP'!$A$"&amp;MATCH($J2313,SorP!$B$1:$B$6230,0))))</f>
        <v/>
      </c>
      <c r="U2313" s="241"/>
      <c r="V2313" s="275" t="e">
        <f>IF(C2313="",NA(),MATCH($B2313&amp;$C2313,'Smelter Look-up'!$J:$J,0))</f>
        <v>#N/A</v>
      </c>
      <c r="W2313" s="276"/>
      <c r="X2313" s="276">
        <f t="shared" ca="1" si="328"/>
        <v>0</v>
      </c>
      <c r="Y2313" s="276"/>
      <c r="Z2313" s="276"/>
      <c r="AB2313" s="278" t="str">
        <f t="shared" si="329"/>
        <v/>
      </c>
    </row>
    <row r="2314" spans="1:28" s="277" customFormat="1" ht="20.25">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27"/>
        <v/>
      </c>
      <c r="T2314" s="225" t="str">
        <f ca="1">IF(B2314="","",IF(ISERROR(MATCH($J2314,SorP!$B$1:$B$6230,0)),"",INDIRECT("'SorP'!$A$"&amp;MATCH($J2314,SorP!$B$1:$B$6230,0))))</f>
        <v/>
      </c>
      <c r="U2314" s="241"/>
      <c r="V2314" s="275" t="e">
        <f>IF(C2314="",NA(),MATCH($B2314&amp;$C2314,'Smelter Look-up'!$J:$J,0))</f>
        <v>#N/A</v>
      </c>
      <c r="W2314" s="276"/>
      <c r="X2314" s="276">
        <f t="shared" ca="1" si="328"/>
        <v>0</v>
      </c>
      <c r="Y2314" s="276"/>
      <c r="Z2314" s="276"/>
      <c r="AB2314" s="278" t="str">
        <f t="shared" si="329"/>
        <v/>
      </c>
    </row>
    <row r="2315" spans="1:28" s="277" customFormat="1" ht="20.25">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27"/>
        <v/>
      </c>
      <c r="T2315" s="225" t="str">
        <f ca="1">IF(B2315="","",IF(ISERROR(MATCH($J2315,SorP!$B$1:$B$6230,0)),"",INDIRECT("'SorP'!$A$"&amp;MATCH($J2315,SorP!$B$1:$B$6230,0))))</f>
        <v/>
      </c>
      <c r="U2315" s="241"/>
      <c r="V2315" s="275" t="e">
        <f>IF(C2315="",NA(),MATCH($B2315&amp;$C2315,'Smelter Look-up'!$J:$J,0))</f>
        <v>#N/A</v>
      </c>
      <c r="W2315" s="276"/>
      <c r="X2315" s="276">
        <f t="shared" ca="1" si="328"/>
        <v>0</v>
      </c>
      <c r="Y2315" s="276"/>
      <c r="Z2315" s="276"/>
      <c r="AB2315" s="278" t="str">
        <f t="shared" si="329"/>
        <v/>
      </c>
    </row>
    <row r="2316" spans="1:28" s="277" customFormat="1" ht="20.25">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27"/>
        <v/>
      </c>
      <c r="T2316" s="225" t="str">
        <f ca="1">IF(B2316="","",IF(ISERROR(MATCH($J2316,SorP!$B$1:$B$6230,0)),"",INDIRECT("'SorP'!$A$"&amp;MATCH($J2316,SorP!$B$1:$B$6230,0))))</f>
        <v/>
      </c>
      <c r="U2316" s="241"/>
      <c r="V2316" s="275" t="e">
        <f>IF(C2316="",NA(),MATCH($B2316&amp;$C2316,'Smelter Look-up'!$J:$J,0))</f>
        <v>#N/A</v>
      </c>
      <c r="W2316" s="276"/>
      <c r="X2316" s="276">
        <f t="shared" ca="1" si="328"/>
        <v>0</v>
      </c>
      <c r="Y2316" s="276"/>
      <c r="Z2316" s="276"/>
      <c r="AB2316" s="278" t="str">
        <f t="shared" si="329"/>
        <v/>
      </c>
    </row>
    <row r="2317" spans="1:28" s="277" customFormat="1" ht="20.25">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27"/>
        <v/>
      </c>
      <c r="T2317" s="225" t="str">
        <f ca="1">IF(B2317="","",IF(ISERROR(MATCH($J2317,SorP!$B$1:$B$6230,0)),"",INDIRECT("'SorP'!$A$"&amp;MATCH($J2317,SorP!$B$1:$B$6230,0))))</f>
        <v/>
      </c>
      <c r="U2317" s="241"/>
      <c r="V2317" s="275" t="e">
        <f>IF(C2317="",NA(),MATCH($B2317&amp;$C2317,'Smelter Look-up'!$J:$J,0))</f>
        <v>#N/A</v>
      </c>
      <c r="W2317" s="276"/>
      <c r="X2317" s="276">
        <f t="shared" ca="1" si="328"/>
        <v>0</v>
      </c>
      <c r="Y2317" s="276"/>
      <c r="Z2317" s="276"/>
      <c r="AB2317" s="278" t="str">
        <f t="shared" si="329"/>
        <v/>
      </c>
    </row>
    <row r="2318" spans="1:28" s="277" customFormat="1" ht="20.25">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27"/>
        <v/>
      </c>
      <c r="T2318" s="225" t="str">
        <f ca="1">IF(B2318="","",IF(ISERROR(MATCH($J2318,SorP!$B$1:$B$6230,0)),"",INDIRECT("'SorP'!$A$"&amp;MATCH($J2318,SorP!$B$1:$B$6230,0))))</f>
        <v/>
      </c>
      <c r="U2318" s="241"/>
      <c r="V2318" s="275" t="e">
        <f>IF(C2318="",NA(),MATCH($B2318&amp;$C2318,'Smelter Look-up'!$J:$J,0))</f>
        <v>#N/A</v>
      </c>
      <c r="W2318" s="276"/>
      <c r="X2318" s="276">
        <f t="shared" ca="1" si="328"/>
        <v>0</v>
      </c>
      <c r="Y2318" s="276"/>
      <c r="Z2318" s="276"/>
      <c r="AB2318" s="278" t="str">
        <f t="shared" si="329"/>
        <v/>
      </c>
    </row>
    <row r="2319" spans="1:28" s="277" customFormat="1" ht="20.25">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27"/>
        <v/>
      </c>
      <c r="T2319" s="225" t="str">
        <f ca="1">IF(B2319="","",IF(ISERROR(MATCH($J2319,SorP!$B$1:$B$6230,0)),"",INDIRECT("'SorP'!$A$"&amp;MATCH($J2319,SorP!$B$1:$B$6230,0))))</f>
        <v/>
      </c>
      <c r="U2319" s="241"/>
      <c r="V2319" s="275" t="e">
        <f>IF(C2319="",NA(),MATCH($B2319&amp;$C2319,'Smelter Look-up'!$J:$J,0))</f>
        <v>#N/A</v>
      </c>
      <c r="W2319" s="276"/>
      <c r="X2319" s="276">
        <f t="shared" ca="1" si="328"/>
        <v>0</v>
      </c>
      <c r="Y2319" s="276"/>
      <c r="Z2319" s="276"/>
      <c r="AB2319" s="278" t="str">
        <f t="shared" si="329"/>
        <v/>
      </c>
    </row>
    <row r="2320" spans="1:28" s="277" customFormat="1" ht="20.25">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327"/>
        <v/>
      </c>
      <c r="T2320" s="225" t="str">
        <f ca="1">IF(B2320="","",IF(ISERROR(MATCH($J2320,SorP!$B$1:$B$6230,0)),"",INDIRECT("'SorP'!$A$"&amp;MATCH($J2320,SorP!$B$1:$B$6230,0))))</f>
        <v/>
      </c>
      <c r="U2320" s="241"/>
      <c r="V2320" s="275" t="e">
        <f>IF(C2320="",NA(),MATCH($B2320&amp;$C2320,'Smelter Look-up'!$J:$J,0))</f>
        <v>#N/A</v>
      </c>
      <c r="W2320" s="276"/>
      <c r="X2320" s="276">
        <f t="shared" ca="1" si="328"/>
        <v>0</v>
      </c>
      <c r="Y2320" s="276"/>
      <c r="Z2320" s="276"/>
      <c r="AB2320" s="278" t="str">
        <f t="shared" si="329"/>
        <v/>
      </c>
    </row>
    <row r="2321" spans="1:28" s="277" customFormat="1" ht="20.25">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27"/>
        <v/>
      </c>
      <c r="T2321" s="225" t="str">
        <f ca="1">IF(B2321="","",IF(ISERROR(MATCH($J2321,SorP!$B$1:$B$6230,0)),"",INDIRECT("'SorP'!$A$"&amp;MATCH($J2321,SorP!$B$1:$B$6230,0))))</f>
        <v/>
      </c>
      <c r="U2321" s="241"/>
      <c r="V2321" s="275" t="e">
        <f>IF(C2321="",NA(),MATCH($B2321&amp;$C2321,'Smelter Look-up'!$J:$J,0))</f>
        <v>#N/A</v>
      </c>
      <c r="W2321" s="276"/>
      <c r="X2321" s="276">
        <f t="shared" ca="1" si="328"/>
        <v>0</v>
      </c>
      <c r="Y2321" s="276"/>
      <c r="Z2321" s="276"/>
      <c r="AB2321" s="278" t="str">
        <f t="shared" si="329"/>
        <v/>
      </c>
    </row>
    <row r="2322" spans="1:28" s="277" customFormat="1" ht="20.25">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327"/>
        <v/>
      </c>
      <c r="T2322" s="225" t="str">
        <f ca="1">IF(B2322="","",IF(ISERROR(MATCH($J2322,SorP!$B$1:$B$6230,0)),"",INDIRECT("'SorP'!$A$"&amp;MATCH($J2322,SorP!$B$1:$B$6230,0))))</f>
        <v/>
      </c>
      <c r="U2322" s="241"/>
      <c r="V2322" s="275" t="e">
        <f>IF(C2322="",NA(),MATCH($B2322&amp;$C2322,'Smelter Look-up'!$J:$J,0))</f>
        <v>#N/A</v>
      </c>
      <c r="W2322" s="276"/>
      <c r="X2322" s="276">
        <f t="shared" ca="1" si="328"/>
        <v>0</v>
      </c>
      <c r="Y2322" s="276"/>
      <c r="Z2322" s="276"/>
      <c r="AB2322" s="278" t="str">
        <f t="shared" si="329"/>
        <v/>
      </c>
    </row>
    <row r="2323" spans="1:28" s="277" customFormat="1" ht="20.25">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27"/>
        <v/>
      </c>
      <c r="T2323" s="225" t="str">
        <f ca="1">IF(B2323="","",IF(ISERROR(MATCH($J2323,SorP!$B$1:$B$6230,0)),"",INDIRECT("'SorP'!$A$"&amp;MATCH($J2323,SorP!$B$1:$B$6230,0))))</f>
        <v/>
      </c>
      <c r="U2323" s="241"/>
      <c r="V2323" s="275" t="e">
        <f>IF(C2323="",NA(),MATCH($B2323&amp;$C2323,'Smelter Look-up'!$J:$J,0))</f>
        <v>#N/A</v>
      </c>
      <c r="W2323" s="276"/>
      <c r="X2323" s="276">
        <f t="shared" ca="1" si="328"/>
        <v>0</v>
      </c>
      <c r="Y2323" s="276"/>
      <c r="Z2323" s="276"/>
      <c r="AB2323" s="278" t="str">
        <f t="shared" si="329"/>
        <v/>
      </c>
    </row>
    <row r="2324" spans="1:28" s="277" customFormat="1" ht="20.25">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27"/>
        <v/>
      </c>
      <c r="T2324" s="225" t="str">
        <f ca="1">IF(B2324="","",IF(ISERROR(MATCH($J2324,SorP!$B$1:$B$6230,0)),"",INDIRECT("'SorP'!$A$"&amp;MATCH($J2324,SorP!$B$1:$B$6230,0))))</f>
        <v/>
      </c>
      <c r="U2324" s="241"/>
      <c r="V2324" s="275" t="e">
        <f>IF(C2324="",NA(),MATCH($B2324&amp;$C2324,'Smelter Look-up'!$J:$J,0))</f>
        <v>#N/A</v>
      </c>
      <c r="W2324" s="276"/>
      <c r="X2324" s="276">
        <f t="shared" ca="1" si="328"/>
        <v>0</v>
      </c>
      <c r="Y2324" s="276"/>
      <c r="Z2324" s="276"/>
      <c r="AB2324" s="278" t="str">
        <f t="shared" si="329"/>
        <v/>
      </c>
    </row>
    <row r="2325" spans="1:28" s="277" customFormat="1" ht="20.25">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27"/>
        <v/>
      </c>
      <c r="T2325" s="225" t="str">
        <f ca="1">IF(B2325="","",IF(ISERROR(MATCH($J2325,SorP!$B$1:$B$6230,0)),"",INDIRECT("'SorP'!$A$"&amp;MATCH($J2325,SorP!$B$1:$B$6230,0))))</f>
        <v/>
      </c>
      <c r="U2325" s="241"/>
      <c r="V2325" s="275" t="e">
        <f>IF(C2325="",NA(),MATCH($B2325&amp;$C2325,'Smelter Look-up'!$J:$J,0))</f>
        <v>#N/A</v>
      </c>
      <c r="W2325" s="276"/>
      <c r="X2325" s="276">
        <f t="shared" ca="1" si="328"/>
        <v>0</v>
      </c>
      <c r="Y2325" s="276"/>
      <c r="Z2325" s="276"/>
      <c r="AB2325" s="278" t="str">
        <f t="shared" si="329"/>
        <v/>
      </c>
    </row>
    <row r="2326" spans="1:28" s="277" customFormat="1" ht="20.25">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27"/>
        <v/>
      </c>
      <c r="T2326" s="225" t="str">
        <f ca="1">IF(B2326="","",IF(ISERROR(MATCH($J2326,SorP!$B$1:$B$6230,0)),"",INDIRECT("'SorP'!$A$"&amp;MATCH($J2326,SorP!$B$1:$B$6230,0))))</f>
        <v/>
      </c>
      <c r="U2326" s="241"/>
      <c r="V2326" s="275" t="e">
        <f>IF(C2326="",NA(),MATCH($B2326&amp;$C2326,'Smelter Look-up'!$J:$J,0))</f>
        <v>#N/A</v>
      </c>
      <c r="W2326" s="276"/>
      <c r="X2326" s="276">
        <f t="shared" ca="1" si="328"/>
        <v>0</v>
      </c>
      <c r="Y2326" s="276"/>
      <c r="Z2326" s="276"/>
      <c r="AB2326" s="278" t="str">
        <f t="shared" si="329"/>
        <v/>
      </c>
    </row>
    <row r="2327" spans="1:28" s="277" customFormat="1" ht="20.25">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27"/>
        <v/>
      </c>
      <c r="T2327" s="225" t="str">
        <f ca="1">IF(B2327="","",IF(ISERROR(MATCH($J2327,SorP!$B$1:$B$6230,0)),"",INDIRECT("'SorP'!$A$"&amp;MATCH($J2327,SorP!$B$1:$B$6230,0))))</f>
        <v/>
      </c>
      <c r="U2327" s="241"/>
      <c r="V2327" s="275" t="e">
        <f>IF(C2327="",NA(),MATCH($B2327&amp;$C2327,'Smelter Look-up'!$J:$J,0))</f>
        <v>#N/A</v>
      </c>
      <c r="W2327" s="276"/>
      <c r="X2327" s="276">
        <f t="shared" ca="1" si="328"/>
        <v>0</v>
      </c>
      <c r="Y2327" s="276"/>
      <c r="Z2327" s="276"/>
      <c r="AB2327" s="278" t="str">
        <f t="shared" si="329"/>
        <v/>
      </c>
    </row>
    <row r="2328" spans="1:28" s="277" customFormat="1" ht="20.25">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27"/>
        <v/>
      </c>
      <c r="T2328" s="225" t="str">
        <f ca="1">IF(B2328="","",IF(ISERROR(MATCH($J2328,SorP!$B$1:$B$6230,0)),"",INDIRECT("'SorP'!$A$"&amp;MATCH($J2328,SorP!$B$1:$B$6230,0))))</f>
        <v/>
      </c>
      <c r="U2328" s="241"/>
      <c r="V2328" s="275" t="e">
        <f>IF(C2328="",NA(),MATCH($B2328&amp;$C2328,'Smelter Look-up'!$J:$J,0))</f>
        <v>#N/A</v>
      </c>
      <c r="W2328" s="276"/>
      <c r="X2328" s="276">
        <f t="shared" ca="1" si="328"/>
        <v>0</v>
      </c>
      <c r="Y2328" s="276"/>
      <c r="Z2328" s="276"/>
      <c r="AB2328" s="278" t="str">
        <f t="shared" si="329"/>
        <v/>
      </c>
    </row>
    <row r="2329" spans="1:28" s="277" customFormat="1" ht="20.25">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27"/>
        <v/>
      </c>
      <c r="T2329" s="225" t="str">
        <f ca="1">IF(B2329="","",IF(ISERROR(MATCH($J2329,SorP!$B$1:$B$6230,0)),"",INDIRECT("'SorP'!$A$"&amp;MATCH($J2329,SorP!$B$1:$B$6230,0))))</f>
        <v/>
      </c>
      <c r="U2329" s="241"/>
      <c r="V2329" s="275" t="e">
        <f>IF(C2329="",NA(),MATCH($B2329&amp;$C2329,'Smelter Look-up'!$J:$J,0))</f>
        <v>#N/A</v>
      </c>
      <c r="W2329" s="276"/>
      <c r="X2329" s="276">
        <f t="shared" ca="1" si="328"/>
        <v>0</v>
      </c>
      <c r="Y2329" s="276"/>
      <c r="Z2329" s="276"/>
      <c r="AB2329" s="278" t="str">
        <f t="shared" si="329"/>
        <v/>
      </c>
    </row>
    <row r="2330" spans="1:28" s="277" customFormat="1" ht="20.25">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27"/>
        <v/>
      </c>
      <c r="T2330" s="225" t="str">
        <f ca="1">IF(B2330="","",IF(ISERROR(MATCH($J2330,SorP!$B$1:$B$6230,0)),"",INDIRECT("'SorP'!$A$"&amp;MATCH($J2330,SorP!$B$1:$B$6230,0))))</f>
        <v/>
      </c>
      <c r="U2330" s="241"/>
      <c r="V2330" s="275" t="e">
        <f>IF(C2330="",NA(),MATCH($B2330&amp;$C2330,'Smelter Look-up'!$J:$J,0))</f>
        <v>#N/A</v>
      </c>
      <c r="W2330" s="276"/>
      <c r="X2330" s="276">
        <f t="shared" ca="1" si="328"/>
        <v>0</v>
      </c>
      <c r="Y2330" s="276"/>
      <c r="Z2330" s="276"/>
      <c r="AB2330" s="278" t="str">
        <f t="shared" si="329"/>
        <v/>
      </c>
    </row>
    <row r="2331" spans="1:28" s="277" customFormat="1" ht="20.25">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327"/>
        <v/>
      </c>
      <c r="T2331" s="225" t="str">
        <f ca="1">IF(B2331="","",IF(ISERROR(MATCH($J2331,SorP!$B$1:$B$6230,0)),"",INDIRECT("'SorP'!$A$"&amp;MATCH($J2331,SorP!$B$1:$B$6230,0))))</f>
        <v/>
      </c>
      <c r="U2331" s="241"/>
      <c r="V2331" s="275" t="e">
        <f>IF(C2331="",NA(),MATCH($B2331&amp;$C2331,'Smelter Look-up'!$J:$J,0))</f>
        <v>#N/A</v>
      </c>
      <c r="W2331" s="276"/>
      <c r="X2331" s="276">
        <f t="shared" ca="1" si="328"/>
        <v>0</v>
      </c>
      <c r="Y2331" s="276"/>
      <c r="Z2331" s="276"/>
      <c r="AB2331" s="278" t="str">
        <f t="shared" si="329"/>
        <v/>
      </c>
    </row>
    <row r="2332" spans="1:28" s="277" customFormat="1" ht="20.25">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ref="S2332:S2362" ca="1" si="330">IF(B2332="","",IF(ISERROR(MATCH($E2332,CL,0)),"Unknown",INDIRECT("'C'!$A$"&amp;MATCH($E2332,CL,0)+1)))</f>
        <v/>
      </c>
      <c r="T2332" s="225" t="str">
        <f ca="1">IF(B2332="","",IF(ISERROR(MATCH($J2332,SorP!$B$1:$B$6230,0)),"",INDIRECT("'SorP'!$A$"&amp;MATCH($J2332,SorP!$B$1:$B$6230,0))))</f>
        <v/>
      </c>
      <c r="U2332" s="241"/>
      <c r="V2332" s="275" t="e">
        <f>IF(C2332="",NA(),MATCH($B2332&amp;$C2332,'Smelter Look-up'!$J:$J,0))</f>
        <v>#N/A</v>
      </c>
      <c r="W2332" s="276"/>
      <c r="X2332" s="276">
        <f t="shared" ref="X2332:X2362" ca="1" si="331">IF(AND(C2332="Smelter not listed",OR(LEN(D2332)=0,LEN(E2332)=0)),1,0)</f>
        <v>0</v>
      </c>
      <c r="Y2332" s="276"/>
      <c r="Z2332" s="276"/>
      <c r="AB2332" s="278" t="str">
        <f t="shared" ref="AB2332:AB2362" si="332">B2332&amp;C2332</f>
        <v/>
      </c>
    </row>
    <row r="2333" spans="1:28" s="277" customFormat="1" ht="20.25">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30"/>
        <v/>
      </c>
      <c r="T2333" s="225" t="str">
        <f ca="1">IF(B2333="","",IF(ISERROR(MATCH($J2333,SorP!$B$1:$B$6230,0)),"",INDIRECT("'SorP'!$A$"&amp;MATCH($J2333,SorP!$B$1:$B$6230,0))))</f>
        <v/>
      </c>
      <c r="U2333" s="241"/>
      <c r="V2333" s="275" t="e">
        <f>IF(C2333="",NA(),MATCH($B2333&amp;$C2333,'Smelter Look-up'!$J:$J,0))</f>
        <v>#N/A</v>
      </c>
      <c r="W2333" s="276"/>
      <c r="X2333" s="276">
        <f t="shared" ca="1" si="331"/>
        <v>0</v>
      </c>
      <c r="Y2333" s="276"/>
      <c r="Z2333" s="276"/>
      <c r="AB2333" s="278" t="str">
        <f t="shared" si="332"/>
        <v/>
      </c>
    </row>
    <row r="2334" spans="1:28" s="277" customFormat="1" ht="20.25">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30"/>
        <v/>
      </c>
      <c r="T2334" s="225" t="str">
        <f ca="1">IF(B2334="","",IF(ISERROR(MATCH($J2334,SorP!$B$1:$B$6230,0)),"",INDIRECT("'SorP'!$A$"&amp;MATCH($J2334,SorP!$B$1:$B$6230,0))))</f>
        <v/>
      </c>
      <c r="U2334" s="241"/>
      <c r="V2334" s="275" t="e">
        <f>IF(C2334="",NA(),MATCH($B2334&amp;$C2334,'Smelter Look-up'!$J:$J,0))</f>
        <v>#N/A</v>
      </c>
      <c r="W2334" s="276"/>
      <c r="X2334" s="276">
        <f t="shared" ca="1" si="331"/>
        <v>0</v>
      </c>
      <c r="Y2334" s="276"/>
      <c r="Z2334" s="276"/>
      <c r="AB2334" s="278" t="str">
        <f t="shared" si="332"/>
        <v/>
      </c>
    </row>
    <row r="2335" spans="1:28" s="277" customFormat="1" ht="20.25">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30"/>
        <v/>
      </c>
      <c r="T2335" s="225" t="str">
        <f ca="1">IF(B2335="","",IF(ISERROR(MATCH($J2335,SorP!$B$1:$B$6230,0)),"",INDIRECT("'SorP'!$A$"&amp;MATCH($J2335,SorP!$B$1:$B$6230,0))))</f>
        <v/>
      </c>
      <c r="U2335" s="241"/>
      <c r="V2335" s="275" t="e">
        <f>IF(C2335="",NA(),MATCH($B2335&amp;$C2335,'Smelter Look-up'!$J:$J,0))</f>
        <v>#N/A</v>
      </c>
      <c r="W2335" s="276"/>
      <c r="X2335" s="276">
        <f t="shared" ca="1" si="331"/>
        <v>0</v>
      </c>
      <c r="Y2335" s="276"/>
      <c r="Z2335" s="276"/>
      <c r="AB2335" s="278" t="str">
        <f t="shared" si="332"/>
        <v/>
      </c>
    </row>
    <row r="2336" spans="1:28" s="277" customFormat="1" ht="20.25">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30"/>
        <v/>
      </c>
      <c r="T2336" s="225" t="str">
        <f ca="1">IF(B2336="","",IF(ISERROR(MATCH($J2336,SorP!$B$1:$B$6230,0)),"",INDIRECT("'SorP'!$A$"&amp;MATCH($J2336,SorP!$B$1:$B$6230,0))))</f>
        <v/>
      </c>
      <c r="U2336" s="241"/>
      <c r="V2336" s="275" t="e">
        <f>IF(C2336="",NA(),MATCH($B2336&amp;$C2336,'Smelter Look-up'!$J:$J,0))</f>
        <v>#N/A</v>
      </c>
      <c r="W2336" s="276"/>
      <c r="X2336" s="276">
        <f t="shared" ca="1" si="331"/>
        <v>0</v>
      </c>
      <c r="Y2336" s="276"/>
      <c r="Z2336" s="276"/>
      <c r="AB2336" s="278" t="str">
        <f t="shared" si="332"/>
        <v/>
      </c>
    </row>
    <row r="2337" spans="1:28" s="277" customFormat="1" ht="20.25">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30"/>
        <v/>
      </c>
      <c r="T2337" s="225" t="str">
        <f ca="1">IF(B2337="","",IF(ISERROR(MATCH($J2337,SorP!$B$1:$B$6230,0)),"",INDIRECT("'SorP'!$A$"&amp;MATCH($J2337,SorP!$B$1:$B$6230,0))))</f>
        <v/>
      </c>
      <c r="U2337" s="241"/>
      <c r="V2337" s="275" t="e">
        <f>IF(C2337="",NA(),MATCH($B2337&amp;$C2337,'Smelter Look-up'!$J:$J,0))</f>
        <v>#N/A</v>
      </c>
      <c r="W2337" s="276"/>
      <c r="X2337" s="276">
        <f t="shared" ca="1" si="331"/>
        <v>0</v>
      </c>
      <c r="Y2337" s="276"/>
      <c r="Z2337" s="276"/>
      <c r="AB2337" s="278" t="str">
        <f t="shared" si="332"/>
        <v/>
      </c>
    </row>
    <row r="2338" spans="1:28" s="277" customFormat="1" ht="20.25">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30"/>
        <v/>
      </c>
      <c r="T2338" s="225" t="str">
        <f ca="1">IF(B2338="","",IF(ISERROR(MATCH($J2338,SorP!$B$1:$B$6230,0)),"",INDIRECT("'SorP'!$A$"&amp;MATCH($J2338,SorP!$B$1:$B$6230,0))))</f>
        <v/>
      </c>
      <c r="U2338" s="241"/>
      <c r="V2338" s="275" t="e">
        <f>IF(C2338="",NA(),MATCH($B2338&amp;$C2338,'Smelter Look-up'!$J:$J,0))</f>
        <v>#N/A</v>
      </c>
      <c r="W2338" s="276"/>
      <c r="X2338" s="276">
        <f t="shared" ca="1" si="331"/>
        <v>0</v>
      </c>
      <c r="Y2338" s="276"/>
      <c r="Z2338" s="276"/>
      <c r="AB2338" s="278" t="str">
        <f t="shared" si="332"/>
        <v/>
      </c>
    </row>
    <row r="2339" spans="1:28" s="277" customFormat="1" ht="20.25">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30"/>
        <v/>
      </c>
      <c r="T2339" s="225" t="str">
        <f ca="1">IF(B2339="","",IF(ISERROR(MATCH($J2339,SorP!$B$1:$B$6230,0)),"",INDIRECT("'SorP'!$A$"&amp;MATCH($J2339,SorP!$B$1:$B$6230,0))))</f>
        <v/>
      </c>
      <c r="U2339" s="241"/>
      <c r="V2339" s="275" t="e">
        <f>IF(C2339="",NA(),MATCH($B2339&amp;$C2339,'Smelter Look-up'!$J:$J,0))</f>
        <v>#N/A</v>
      </c>
      <c r="W2339" s="276"/>
      <c r="X2339" s="276">
        <f t="shared" ca="1" si="331"/>
        <v>0</v>
      </c>
      <c r="Y2339" s="276"/>
      <c r="Z2339" s="276"/>
      <c r="AB2339" s="278" t="str">
        <f t="shared" si="332"/>
        <v/>
      </c>
    </row>
    <row r="2340" spans="1:28" s="277" customFormat="1" ht="20.25">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30"/>
        <v/>
      </c>
      <c r="T2340" s="225" t="str">
        <f ca="1">IF(B2340="","",IF(ISERROR(MATCH($J2340,SorP!$B$1:$B$6230,0)),"",INDIRECT("'SorP'!$A$"&amp;MATCH($J2340,SorP!$B$1:$B$6230,0))))</f>
        <v/>
      </c>
      <c r="U2340" s="241"/>
      <c r="V2340" s="275" t="e">
        <f>IF(C2340="",NA(),MATCH($B2340&amp;$C2340,'Smelter Look-up'!$J:$J,0))</f>
        <v>#N/A</v>
      </c>
      <c r="W2340" s="276"/>
      <c r="X2340" s="276">
        <f t="shared" ca="1" si="331"/>
        <v>0</v>
      </c>
      <c r="Y2340" s="276"/>
      <c r="Z2340" s="276"/>
      <c r="AB2340" s="278" t="str">
        <f t="shared" si="332"/>
        <v/>
      </c>
    </row>
    <row r="2341" spans="1:28" s="277" customFormat="1" ht="20.25">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30"/>
        <v/>
      </c>
      <c r="T2341" s="225" t="str">
        <f ca="1">IF(B2341="","",IF(ISERROR(MATCH($J2341,SorP!$B$1:$B$6230,0)),"",INDIRECT("'SorP'!$A$"&amp;MATCH($J2341,SorP!$B$1:$B$6230,0))))</f>
        <v/>
      </c>
      <c r="U2341" s="241"/>
      <c r="V2341" s="275" t="e">
        <f>IF(C2341="",NA(),MATCH($B2341&amp;$C2341,'Smelter Look-up'!$J:$J,0))</f>
        <v>#N/A</v>
      </c>
      <c r="W2341" s="276"/>
      <c r="X2341" s="276">
        <f t="shared" ca="1" si="331"/>
        <v>0</v>
      </c>
      <c r="Y2341" s="276"/>
      <c r="Z2341" s="276"/>
      <c r="AB2341" s="278" t="str">
        <f t="shared" si="332"/>
        <v/>
      </c>
    </row>
    <row r="2342" spans="1:28" s="277" customFormat="1" ht="20.25">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30"/>
        <v/>
      </c>
      <c r="T2342" s="225" t="str">
        <f ca="1">IF(B2342="","",IF(ISERROR(MATCH($J2342,SorP!$B$1:$B$6230,0)),"",INDIRECT("'SorP'!$A$"&amp;MATCH($J2342,SorP!$B$1:$B$6230,0))))</f>
        <v/>
      </c>
      <c r="U2342" s="241"/>
      <c r="V2342" s="275" t="e">
        <f>IF(C2342="",NA(),MATCH($B2342&amp;$C2342,'Smelter Look-up'!$J:$J,0))</f>
        <v>#N/A</v>
      </c>
      <c r="W2342" s="276"/>
      <c r="X2342" s="276">
        <f t="shared" ca="1" si="331"/>
        <v>0</v>
      </c>
      <c r="Y2342" s="276"/>
      <c r="Z2342" s="276"/>
      <c r="AB2342" s="278" t="str">
        <f t="shared" si="332"/>
        <v/>
      </c>
    </row>
    <row r="2343" spans="1:28" s="277" customFormat="1" ht="20.25">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30"/>
        <v/>
      </c>
      <c r="T2343" s="225" t="str">
        <f ca="1">IF(B2343="","",IF(ISERROR(MATCH($J2343,SorP!$B$1:$B$6230,0)),"",INDIRECT("'SorP'!$A$"&amp;MATCH($J2343,SorP!$B$1:$B$6230,0))))</f>
        <v/>
      </c>
      <c r="U2343" s="241"/>
      <c r="V2343" s="275" t="e">
        <f>IF(C2343="",NA(),MATCH($B2343&amp;$C2343,'Smelter Look-up'!$J:$J,0))</f>
        <v>#N/A</v>
      </c>
      <c r="W2343" s="276"/>
      <c r="X2343" s="276">
        <f t="shared" ca="1" si="331"/>
        <v>0</v>
      </c>
      <c r="Y2343" s="276"/>
      <c r="Z2343" s="276"/>
      <c r="AB2343" s="278" t="str">
        <f t="shared" si="332"/>
        <v/>
      </c>
    </row>
    <row r="2344" spans="1:28" s="277" customFormat="1" ht="20.25">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30"/>
        <v/>
      </c>
      <c r="T2344" s="225" t="str">
        <f ca="1">IF(B2344="","",IF(ISERROR(MATCH($J2344,SorP!$B$1:$B$6230,0)),"",INDIRECT("'SorP'!$A$"&amp;MATCH($J2344,SorP!$B$1:$B$6230,0))))</f>
        <v/>
      </c>
      <c r="U2344" s="241"/>
      <c r="V2344" s="275" t="e">
        <f>IF(C2344="",NA(),MATCH($B2344&amp;$C2344,'Smelter Look-up'!$J:$J,0))</f>
        <v>#N/A</v>
      </c>
      <c r="W2344" s="276"/>
      <c r="X2344" s="276">
        <f t="shared" ca="1" si="331"/>
        <v>0</v>
      </c>
      <c r="Y2344" s="276"/>
      <c r="Z2344" s="276"/>
      <c r="AB2344" s="278" t="str">
        <f t="shared" si="332"/>
        <v/>
      </c>
    </row>
    <row r="2345" spans="1:28" s="277" customFormat="1" ht="20.25">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30"/>
        <v/>
      </c>
      <c r="T2345" s="225" t="str">
        <f ca="1">IF(B2345="","",IF(ISERROR(MATCH($J2345,SorP!$B$1:$B$6230,0)),"",INDIRECT("'SorP'!$A$"&amp;MATCH($J2345,SorP!$B$1:$B$6230,0))))</f>
        <v/>
      </c>
      <c r="U2345" s="241"/>
      <c r="V2345" s="275" t="e">
        <f>IF(C2345="",NA(),MATCH($B2345&amp;$C2345,'Smelter Look-up'!$J:$J,0))</f>
        <v>#N/A</v>
      </c>
      <c r="W2345" s="276"/>
      <c r="X2345" s="276">
        <f t="shared" ca="1" si="331"/>
        <v>0</v>
      </c>
      <c r="Y2345" s="276"/>
      <c r="Z2345" s="276"/>
      <c r="AB2345" s="278" t="str">
        <f t="shared" si="332"/>
        <v/>
      </c>
    </row>
    <row r="2346" spans="1:28" s="277" customFormat="1" ht="20.25">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30"/>
        <v/>
      </c>
      <c r="T2346" s="225" t="str">
        <f ca="1">IF(B2346="","",IF(ISERROR(MATCH($J2346,SorP!$B$1:$B$6230,0)),"",INDIRECT("'SorP'!$A$"&amp;MATCH($J2346,SorP!$B$1:$B$6230,0))))</f>
        <v/>
      </c>
      <c r="U2346" s="241"/>
      <c r="V2346" s="275" t="e">
        <f>IF(C2346="",NA(),MATCH($B2346&amp;$C2346,'Smelter Look-up'!$J:$J,0))</f>
        <v>#N/A</v>
      </c>
      <c r="W2346" s="276"/>
      <c r="X2346" s="276">
        <f t="shared" ca="1" si="331"/>
        <v>0</v>
      </c>
      <c r="Y2346" s="276"/>
      <c r="Z2346" s="276"/>
      <c r="AB2346" s="278" t="str">
        <f t="shared" si="332"/>
        <v/>
      </c>
    </row>
    <row r="2347" spans="1:28" s="277" customFormat="1" ht="20.25">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30"/>
        <v/>
      </c>
      <c r="T2347" s="225" t="str">
        <f ca="1">IF(B2347="","",IF(ISERROR(MATCH($J2347,SorP!$B$1:$B$6230,0)),"",INDIRECT("'SorP'!$A$"&amp;MATCH($J2347,SorP!$B$1:$B$6230,0))))</f>
        <v/>
      </c>
      <c r="U2347" s="241"/>
      <c r="V2347" s="275" t="e">
        <f>IF(C2347="",NA(),MATCH($B2347&amp;$C2347,'Smelter Look-up'!$J:$J,0))</f>
        <v>#N/A</v>
      </c>
      <c r="W2347" s="276"/>
      <c r="X2347" s="276">
        <f t="shared" ca="1" si="331"/>
        <v>0</v>
      </c>
      <c r="Y2347" s="276"/>
      <c r="Z2347" s="276"/>
      <c r="AB2347" s="278" t="str">
        <f t="shared" si="332"/>
        <v/>
      </c>
    </row>
    <row r="2348" spans="1:28" s="277" customFormat="1" ht="20.25">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30"/>
        <v/>
      </c>
      <c r="T2348" s="225" t="str">
        <f ca="1">IF(B2348="","",IF(ISERROR(MATCH($J2348,SorP!$B$1:$B$6230,0)),"",INDIRECT("'SorP'!$A$"&amp;MATCH($J2348,SorP!$B$1:$B$6230,0))))</f>
        <v/>
      </c>
      <c r="U2348" s="241"/>
      <c r="V2348" s="275" t="e">
        <f>IF(C2348="",NA(),MATCH($B2348&amp;$C2348,'Smelter Look-up'!$J:$J,0))</f>
        <v>#N/A</v>
      </c>
      <c r="W2348" s="276"/>
      <c r="X2348" s="276">
        <f t="shared" ca="1" si="331"/>
        <v>0</v>
      </c>
      <c r="Y2348" s="276"/>
      <c r="Z2348" s="276"/>
      <c r="AB2348" s="278" t="str">
        <f t="shared" si="332"/>
        <v/>
      </c>
    </row>
    <row r="2349" spans="1:28" s="277" customFormat="1" ht="20.25">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30"/>
        <v/>
      </c>
      <c r="T2349" s="225" t="str">
        <f ca="1">IF(B2349="","",IF(ISERROR(MATCH($J2349,SorP!$B$1:$B$6230,0)),"",INDIRECT("'SorP'!$A$"&amp;MATCH($J2349,SorP!$B$1:$B$6230,0))))</f>
        <v/>
      </c>
      <c r="U2349" s="241"/>
      <c r="V2349" s="275" t="e">
        <f>IF(C2349="",NA(),MATCH($B2349&amp;$C2349,'Smelter Look-up'!$J:$J,0))</f>
        <v>#N/A</v>
      </c>
      <c r="W2349" s="276"/>
      <c r="X2349" s="276">
        <f t="shared" ca="1" si="331"/>
        <v>0</v>
      </c>
      <c r="Y2349" s="276"/>
      <c r="Z2349" s="276"/>
      <c r="AB2349" s="278" t="str">
        <f t="shared" si="332"/>
        <v/>
      </c>
    </row>
    <row r="2350" spans="1:28" s="277" customFormat="1" ht="20.25">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30"/>
        <v/>
      </c>
      <c r="T2350" s="225" t="str">
        <f ca="1">IF(B2350="","",IF(ISERROR(MATCH($J2350,SorP!$B$1:$B$6230,0)),"",INDIRECT("'SorP'!$A$"&amp;MATCH($J2350,SorP!$B$1:$B$6230,0))))</f>
        <v/>
      </c>
      <c r="U2350" s="241"/>
      <c r="V2350" s="275" t="e">
        <f>IF(C2350="",NA(),MATCH($B2350&amp;$C2350,'Smelter Look-up'!$J:$J,0))</f>
        <v>#N/A</v>
      </c>
      <c r="W2350" s="276"/>
      <c r="X2350" s="276">
        <f t="shared" ca="1" si="331"/>
        <v>0</v>
      </c>
      <c r="Y2350" s="276"/>
      <c r="Z2350" s="276"/>
      <c r="AB2350" s="278" t="str">
        <f t="shared" si="332"/>
        <v/>
      </c>
    </row>
    <row r="2351" spans="1:28" s="277" customFormat="1" ht="20.25">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330"/>
        <v/>
      </c>
      <c r="T2351" s="225" t="str">
        <f ca="1">IF(B2351="","",IF(ISERROR(MATCH($J2351,SorP!$B$1:$B$6230,0)),"",INDIRECT("'SorP'!$A$"&amp;MATCH($J2351,SorP!$B$1:$B$6230,0))))</f>
        <v/>
      </c>
      <c r="U2351" s="241"/>
      <c r="V2351" s="275" t="e">
        <f>IF(C2351="",NA(),MATCH($B2351&amp;$C2351,'Smelter Look-up'!$J:$J,0))</f>
        <v>#N/A</v>
      </c>
      <c r="W2351" s="276"/>
      <c r="X2351" s="276">
        <f t="shared" ca="1" si="331"/>
        <v>0</v>
      </c>
      <c r="Y2351" s="276"/>
      <c r="Z2351" s="276"/>
      <c r="AB2351" s="278" t="str">
        <f t="shared" si="332"/>
        <v/>
      </c>
    </row>
    <row r="2352" spans="1:28" s="277" customFormat="1" ht="20.25">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330"/>
        <v/>
      </c>
      <c r="T2352" s="225" t="str">
        <f ca="1">IF(B2352="","",IF(ISERROR(MATCH($J2352,SorP!$B$1:$B$6230,0)),"",INDIRECT("'SorP'!$A$"&amp;MATCH($J2352,SorP!$B$1:$B$6230,0))))</f>
        <v/>
      </c>
      <c r="U2352" s="241"/>
      <c r="V2352" s="275" t="e">
        <f>IF(C2352="",NA(),MATCH($B2352&amp;$C2352,'Smelter Look-up'!$J:$J,0))</f>
        <v>#N/A</v>
      </c>
      <c r="W2352" s="276"/>
      <c r="X2352" s="276">
        <f t="shared" ca="1" si="331"/>
        <v>0</v>
      </c>
      <c r="Y2352" s="276"/>
      <c r="Z2352" s="276"/>
      <c r="AB2352" s="278" t="str">
        <f t="shared" si="332"/>
        <v/>
      </c>
    </row>
    <row r="2353" spans="1:28" s="277" customFormat="1" ht="20.25">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330"/>
        <v/>
      </c>
      <c r="T2353" s="225" t="str">
        <f ca="1">IF(B2353="","",IF(ISERROR(MATCH($J2353,SorP!$B$1:$B$6230,0)),"",INDIRECT("'SorP'!$A$"&amp;MATCH($J2353,SorP!$B$1:$B$6230,0))))</f>
        <v/>
      </c>
      <c r="U2353" s="241"/>
      <c r="V2353" s="275" t="e">
        <f>IF(C2353="",NA(),MATCH($B2353&amp;$C2353,'Smelter Look-up'!$J:$J,0))</f>
        <v>#N/A</v>
      </c>
      <c r="W2353" s="276"/>
      <c r="X2353" s="276">
        <f t="shared" ca="1" si="331"/>
        <v>0</v>
      </c>
      <c r="Y2353" s="276"/>
      <c r="Z2353" s="276"/>
      <c r="AB2353" s="278" t="str">
        <f t="shared" si="332"/>
        <v/>
      </c>
    </row>
    <row r="2354" spans="1:28" s="277" customFormat="1" ht="20.25">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330"/>
        <v/>
      </c>
      <c r="T2354" s="225" t="str">
        <f ca="1">IF(B2354="","",IF(ISERROR(MATCH($J2354,SorP!$B$1:$B$6230,0)),"",INDIRECT("'SorP'!$A$"&amp;MATCH($J2354,SorP!$B$1:$B$6230,0))))</f>
        <v/>
      </c>
      <c r="U2354" s="241"/>
      <c r="V2354" s="275" t="e">
        <f>IF(C2354="",NA(),MATCH($B2354&amp;$C2354,'Smelter Look-up'!$J:$J,0))</f>
        <v>#N/A</v>
      </c>
      <c r="W2354" s="276"/>
      <c r="X2354" s="276">
        <f t="shared" ca="1" si="331"/>
        <v>0</v>
      </c>
      <c r="Y2354" s="276"/>
      <c r="Z2354" s="276"/>
      <c r="AB2354" s="278" t="str">
        <f t="shared" si="332"/>
        <v/>
      </c>
    </row>
    <row r="2355" spans="1:28" s="277" customFormat="1" ht="20.25">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30"/>
        <v/>
      </c>
      <c r="T2355" s="225" t="str">
        <f ca="1">IF(B2355="","",IF(ISERROR(MATCH($J2355,SorP!$B$1:$B$6230,0)),"",INDIRECT("'SorP'!$A$"&amp;MATCH($J2355,SorP!$B$1:$B$6230,0))))</f>
        <v/>
      </c>
      <c r="U2355" s="241"/>
      <c r="V2355" s="275" t="e">
        <f>IF(C2355="",NA(),MATCH($B2355&amp;$C2355,'Smelter Look-up'!$J:$J,0))</f>
        <v>#N/A</v>
      </c>
      <c r="W2355" s="276"/>
      <c r="X2355" s="276">
        <f t="shared" ca="1" si="331"/>
        <v>0</v>
      </c>
      <c r="Y2355" s="276"/>
      <c r="Z2355" s="276"/>
      <c r="AB2355" s="278" t="str">
        <f t="shared" si="332"/>
        <v/>
      </c>
    </row>
    <row r="2356" spans="1:28" s="277" customFormat="1" ht="20.25">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30"/>
        <v/>
      </c>
      <c r="T2356" s="225" t="str">
        <f ca="1">IF(B2356="","",IF(ISERROR(MATCH($J2356,SorP!$B$1:$B$6230,0)),"",INDIRECT("'SorP'!$A$"&amp;MATCH($J2356,SorP!$B$1:$B$6230,0))))</f>
        <v/>
      </c>
      <c r="U2356" s="241"/>
      <c r="V2356" s="275" t="e">
        <f>IF(C2356="",NA(),MATCH($B2356&amp;$C2356,'Smelter Look-up'!$J:$J,0))</f>
        <v>#N/A</v>
      </c>
      <c r="W2356" s="276"/>
      <c r="X2356" s="276">
        <f t="shared" ca="1" si="331"/>
        <v>0</v>
      </c>
      <c r="Y2356" s="276"/>
      <c r="Z2356" s="276"/>
      <c r="AB2356" s="278" t="str">
        <f t="shared" si="332"/>
        <v/>
      </c>
    </row>
    <row r="2357" spans="1:28" s="277" customFormat="1" ht="20.25">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30"/>
        <v/>
      </c>
      <c r="T2357" s="225" t="str">
        <f ca="1">IF(B2357="","",IF(ISERROR(MATCH($J2357,SorP!$B$1:$B$6230,0)),"",INDIRECT("'SorP'!$A$"&amp;MATCH($J2357,SorP!$B$1:$B$6230,0))))</f>
        <v/>
      </c>
      <c r="U2357" s="241"/>
      <c r="V2357" s="275" t="e">
        <f>IF(C2357="",NA(),MATCH($B2357&amp;$C2357,'Smelter Look-up'!$J:$J,0))</f>
        <v>#N/A</v>
      </c>
      <c r="W2357" s="276"/>
      <c r="X2357" s="276">
        <f t="shared" ca="1" si="331"/>
        <v>0</v>
      </c>
      <c r="Y2357" s="276"/>
      <c r="Z2357" s="276"/>
      <c r="AB2357" s="278" t="str">
        <f t="shared" si="332"/>
        <v/>
      </c>
    </row>
    <row r="2358" spans="1:28" s="277" customFormat="1" ht="20.25">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30"/>
        <v/>
      </c>
      <c r="T2358" s="225" t="str">
        <f ca="1">IF(B2358="","",IF(ISERROR(MATCH($J2358,SorP!$B$1:$B$6230,0)),"",INDIRECT("'SorP'!$A$"&amp;MATCH($J2358,SorP!$B$1:$B$6230,0))))</f>
        <v/>
      </c>
      <c r="U2358" s="241"/>
      <c r="V2358" s="275" t="e">
        <f>IF(C2358="",NA(),MATCH($B2358&amp;$C2358,'Smelter Look-up'!$J:$J,0))</f>
        <v>#N/A</v>
      </c>
      <c r="W2358" s="276"/>
      <c r="X2358" s="276">
        <f t="shared" ca="1" si="331"/>
        <v>0</v>
      </c>
      <c r="Y2358" s="276"/>
      <c r="Z2358" s="276"/>
      <c r="AB2358" s="278" t="str">
        <f t="shared" si="332"/>
        <v/>
      </c>
    </row>
    <row r="2359" spans="1:28" s="277" customFormat="1" ht="20.25">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30"/>
        <v/>
      </c>
      <c r="T2359" s="225" t="str">
        <f ca="1">IF(B2359="","",IF(ISERROR(MATCH($J2359,SorP!$B$1:$B$6230,0)),"",INDIRECT("'SorP'!$A$"&amp;MATCH($J2359,SorP!$B$1:$B$6230,0))))</f>
        <v/>
      </c>
      <c r="U2359" s="241"/>
      <c r="V2359" s="275" t="e">
        <f>IF(C2359="",NA(),MATCH($B2359&amp;$C2359,'Smelter Look-up'!$J:$J,0))</f>
        <v>#N/A</v>
      </c>
      <c r="W2359" s="276"/>
      <c r="X2359" s="276">
        <f t="shared" ca="1" si="331"/>
        <v>0</v>
      </c>
      <c r="Y2359" s="276"/>
      <c r="Z2359" s="276"/>
      <c r="AB2359" s="278" t="str">
        <f t="shared" si="332"/>
        <v/>
      </c>
    </row>
    <row r="2360" spans="1:28" s="277" customFormat="1" ht="20.25">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30"/>
        <v/>
      </c>
      <c r="T2360" s="225" t="str">
        <f ca="1">IF(B2360="","",IF(ISERROR(MATCH($J2360,SorP!$B$1:$B$6230,0)),"",INDIRECT("'SorP'!$A$"&amp;MATCH($J2360,SorP!$B$1:$B$6230,0))))</f>
        <v/>
      </c>
      <c r="U2360" s="241"/>
      <c r="V2360" s="275" t="e">
        <f>IF(C2360="",NA(),MATCH($B2360&amp;$C2360,'Smelter Look-up'!$J:$J,0))</f>
        <v>#N/A</v>
      </c>
      <c r="W2360" s="276"/>
      <c r="X2360" s="276">
        <f t="shared" ca="1" si="331"/>
        <v>0</v>
      </c>
      <c r="Y2360" s="276"/>
      <c r="Z2360" s="276"/>
      <c r="AB2360" s="278" t="str">
        <f t="shared" si="332"/>
        <v/>
      </c>
    </row>
    <row r="2361" spans="1:28" s="277" customFormat="1" ht="20.25">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30"/>
        <v/>
      </c>
      <c r="T2361" s="225" t="str">
        <f ca="1">IF(B2361="","",IF(ISERROR(MATCH($J2361,SorP!$B$1:$B$6230,0)),"",INDIRECT("'SorP'!$A$"&amp;MATCH($J2361,SorP!$B$1:$B$6230,0))))</f>
        <v/>
      </c>
      <c r="U2361" s="241"/>
      <c r="V2361" s="275" t="e">
        <f>IF(C2361="",NA(),MATCH($B2361&amp;$C2361,'Smelter Look-up'!$J:$J,0))</f>
        <v>#N/A</v>
      </c>
      <c r="W2361" s="276"/>
      <c r="X2361" s="276">
        <f t="shared" ca="1" si="331"/>
        <v>0</v>
      </c>
      <c r="Y2361" s="276"/>
      <c r="Z2361" s="276"/>
      <c r="AB2361" s="278" t="str">
        <f t="shared" si="332"/>
        <v/>
      </c>
    </row>
    <row r="2362" spans="1:28" s="277" customFormat="1" ht="20.25">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330"/>
        <v/>
      </c>
      <c r="T2362" s="225" t="str">
        <f ca="1">IF(B2362="","",IF(ISERROR(MATCH($J2362,SorP!$B$1:$B$6230,0)),"",INDIRECT("'SorP'!$A$"&amp;MATCH($J2362,SorP!$B$1:$B$6230,0))))</f>
        <v/>
      </c>
      <c r="U2362" s="241"/>
      <c r="V2362" s="275" t="e">
        <f>IF(C2362="",NA(),MATCH($B2362&amp;$C2362,'Smelter Look-up'!$J:$J,0))</f>
        <v>#N/A</v>
      </c>
      <c r="W2362" s="276"/>
      <c r="X2362" s="276">
        <f t="shared" ca="1" si="331"/>
        <v>0</v>
      </c>
      <c r="Y2362" s="276"/>
      <c r="Z2362" s="276"/>
      <c r="AB2362" s="278" t="str">
        <f t="shared" si="332"/>
        <v/>
      </c>
    </row>
    <row r="2363" spans="1:28" s="277" customFormat="1" ht="20.25">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ref="S2363" ca="1" si="333">IF(B2363="","",IF(ISERROR(MATCH($E2363,CL,0)),"Unknown",INDIRECT("'C'!$A$"&amp;MATCH($E2363,CL,0)+1)))</f>
        <v/>
      </c>
      <c r="T2363" s="225" t="str">
        <f ca="1">IF(B2363="","",IF(ISERROR(MATCH($J2363,SorP!$B$1:$B$6230,0)),"",INDIRECT("'SorP'!$A$"&amp;MATCH($J2363,SorP!$B$1:$B$6230,0))))</f>
        <v/>
      </c>
      <c r="U2363" s="241"/>
      <c r="V2363" s="275" t="e">
        <f>IF(C2363="",NA(),MATCH($B2363&amp;$C2363,'Smelter Look-up'!$J:$J,0))</f>
        <v>#N/A</v>
      </c>
      <c r="W2363" s="276"/>
      <c r="X2363" s="276">
        <f t="shared" ref="X2363" ca="1" si="334">IF(AND(C2363="Smelter not listed",OR(LEN(D2363)=0,LEN(E2363)=0)),1,0)</f>
        <v>0</v>
      </c>
      <c r="Y2363" s="276"/>
      <c r="Z2363" s="276"/>
      <c r="AB2363" s="278" t="str">
        <f t="shared" ref="AB2363" si="335">B2363&amp;C2363</f>
        <v/>
      </c>
    </row>
    <row r="2364" spans="1:28" s="277" customFormat="1" ht="20.25">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ref="S2364:S2395" ca="1" si="336">IF(B2364="","",IF(ISERROR(MATCH($E2364,CL,0)),"Unknown",INDIRECT("'C'!$A$"&amp;MATCH($E2364,CL,0)+1)))</f>
        <v/>
      </c>
      <c r="T2364" s="225" t="str">
        <f ca="1">IF(B2364="","",IF(ISERROR(MATCH($J2364,SorP!$B$1:$B$6230,0)),"",INDIRECT("'SorP'!$A$"&amp;MATCH($J2364,SorP!$B$1:$B$6230,0))))</f>
        <v/>
      </c>
      <c r="U2364" s="241"/>
      <c r="V2364" s="275" t="e">
        <f>IF(C2364="",NA(),MATCH($B2364&amp;$C2364,'Smelter Look-up'!$J:$J,0))</f>
        <v>#N/A</v>
      </c>
      <c r="W2364" s="276"/>
      <c r="X2364" s="276">
        <f t="shared" ref="X2364:X2395" ca="1" si="337">IF(AND(C2364="Smelter not listed",OR(LEN(D2364)=0,LEN(E2364)=0)),1,0)</f>
        <v>0</v>
      </c>
      <c r="Y2364" s="276"/>
      <c r="Z2364" s="276"/>
      <c r="AB2364" s="278" t="str">
        <f t="shared" ref="AB2364:AB2395" si="338">B2364&amp;C2364</f>
        <v/>
      </c>
    </row>
    <row r="2365" spans="1:28" s="277" customFormat="1" ht="20.25">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36"/>
        <v/>
      </c>
      <c r="T2365" s="225" t="str">
        <f ca="1">IF(B2365="","",IF(ISERROR(MATCH($J2365,SorP!$B$1:$B$6230,0)),"",INDIRECT("'SorP'!$A$"&amp;MATCH($J2365,SorP!$B$1:$B$6230,0))))</f>
        <v/>
      </c>
      <c r="U2365" s="241"/>
      <c r="V2365" s="275" t="e">
        <f>IF(C2365="",NA(),MATCH($B2365&amp;$C2365,'Smelter Look-up'!$J:$J,0))</f>
        <v>#N/A</v>
      </c>
      <c r="W2365" s="276"/>
      <c r="X2365" s="276">
        <f t="shared" ca="1" si="337"/>
        <v>0</v>
      </c>
      <c r="Y2365" s="276"/>
      <c r="Z2365" s="276"/>
      <c r="AB2365" s="278" t="str">
        <f t="shared" si="338"/>
        <v/>
      </c>
    </row>
    <row r="2366" spans="1:28" s="277" customFormat="1" ht="20.25">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36"/>
        <v/>
      </c>
      <c r="T2366" s="225" t="str">
        <f ca="1">IF(B2366="","",IF(ISERROR(MATCH($J2366,SorP!$B$1:$B$6230,0)),"",INDIRECT("'SorP'!$A$"&amp;MATCH($J2366,SorP!$B$1:$B$6230,0))))</f>
        <v/>
      </c>
      <c r="U2366" s="241"/>
      <c r="V2366" s="275" t="e">
        <f>IF(C2366="",NA(),MATCH($B2366&amp;$C2366,'Smelter Look-up'!$J:$J,0))</f>
        <v>#N/A</v>
      </c>
      <c r="W2366" s="276"/>
      <c r="X2366" s="276">
        <f t="shared" ca="1" si="337"/>
        <v>0</v>
      </c>
      <c r="Y2366" s="276"/>
      <c r="Z2366" s="276"/>
      <c r="AB2366" s="278" t="str">
        <f t="shared" si="338"/>
        <v/>
      </c>
    </row>
    <row r="2367" spans="1:28" s="277" customFormat="1" ht="20.25">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36"/>
        <v/>
      </c>
      <c r="T2367" s="225" t="str">
        <f ca="1">IF(B2367="","",IF(ISERROR(MATCH($J2367,SorP!$B$1:$B$6230,0)),"",INDIRECT("'SorP'!$A$"&amp;MATCH($J2367,SorP!$B$1:$B$6230,0))))</f>
        <v/>
      </c>
      <c r="U2367" s="241"/>
      <c r="V2367" s="275" t="e">
        <f>IF(C2367="",NA(),MATCH($B2367&amp;$C2367,'Smelter Look-up'!$J:$J,0))</f>
        <v>#N/A</v>
      </c>
      <c r="W2367" s="276"/>
      <c r="X2367" s="276">
        <f t="shared" ca="1" si="337"/>
        <v>0</v>
      </c>
      <c r="Y2367" s="276"/>
      <c r="Z2367" s="276"/>
      <c r="AB2367" s="278" t="str">
        <f t="shared" si="338"/>
        <v/>
      </c>
    </row>
    <row r="2368" spans="1:28" s="277" customFormat="1" ht="20.25">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36"/>
        <v/>
      </c>
      <c r="T2368" s="225" t="str">
        <f ca="1">IF(B2368="","",IF(ISERROR(MATCH($J2368,SorP!$B$1:$B$6230,0)),"",INDIRECT("'SorP'!$A$"&amp;MATCH($J2368,SorP!$B$1:$B$6230,0))))</f>
        <v/>
      </c>
      <c r="U2368" s="241"/>
      <c r="V2368" s="275" t="e">
        <f>IF(C2368="",NA(),MATCH($B2368&amp;$C2368,'Smelter Look-up'!$J:$J,0))</f>
        <v>#N/A</v>
      </c>
      <c r="W2368" s="276"/>
      <c r="X2368" s="276">
        <f t="shared" ca="1" si="337"/>
        <v>0</v>
      </c>
      <c r="Y2368" s="276"/>
      <c r="Z2368" s="276"/>
      <c r="AB2368" s="278" t="str">
        <f t="shared" si="338"/>
        <v/>
      </c>
    </row>
    <row r="2369" spans="1:28" s="277" customFormat="1" ht="20.25">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36"/>
        <v/>
      </c>
      <c r="T2369" s="225" t="str">
        <f ca="1">IF(B2369="","",IF(ISERROR(MATCH($J2369,SorP!$B$1:$B$6230,0)),"",INDIRECT("'SorP'!$A$"&amp;MATCH($J2369,SorP!$B$1:$B$6230,0))))</f>
        <v/>
      </c>
      <c r="U2369" s="241"/>
      <c r="V2369" s="275" t="e">
        <f>IF(C2369="",NA(),MATCH($B2369&amp;$C2369,'Smelter Look-up'!$J:$J,0))</f>
        <v>#N/A</v>
      </c>
      <c r="W2369" s="276"/>
      <c r="X2369" s="276">
        <f t="shared" ca="1" si="337"/>
        <v>0</v>
      </c>
      <c r="Y2369" s="276"/>
      <c r="Z2369" s="276"/>
      <c r="AB2369" s="278" t="str">
        <f t="shared" si="338"/>
        <v/>
      </c>
    </row>
    <row r="2370" spans="1:28" s="277" customFormat="1" ht="20.25">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36"/>
        <v/>
      </c>
      <c r="T2370" s="225" t="str">
        <f ca="1">IF(B2370="","",IF(ISERROR(MATCH($J2370,SorP!$B$1:$B$6230,0)),"",INDIRECT("'SorP'!$A$"&amp;MATCH($J2370,SorP!$B$1:$B$6230,0))))</f>
        <v/>
      </c>
      <c r="U2370" s="241"/>
      <c r="V2370" s="275" t="e">
        <f>IF(C2370="",NA(),MATCH($B2370&amp;$C2370,'Smelter Look-up'!$J:$J,0))</f>
        <v>#N/A</v>
      </c>
      <c r="W2370" s="276"/>
      <c r="X2370" s="276">
        <f t="shared" ca="1" si="337"/>
        <v>0</v>
      </c>
      <c r="Y2370" s="276"/>
      <c r="Z2370" s="276"/>
      <c r="AB2370" s="278" t="str">
        <f t="shared" si="338"/>
        <v/>
      </c>
    </row>
    <row r="2371" spans="1:28" s="277" customFormat="1" ht="20.25">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36"/>
        <v/>
      </c>
      <c r="T2371" s="225" t="str">
        <f ca="1">IF(B2371="","",IF(ISERROR(MATCH($J2371,SorP!$B$1:$B$6230,0)),"",INDIRECT("'SorP'!$A$"&amp;MATCH($J2371,SorP!$B$1:$B$6230,0))))</f>
        <v/>
      </c>
      <c r="U2371" s="241"/>
      <c r="V2371" s="275" t="e">
        <f>IF(C2371="",NA(),MATCH($B2371&amp;$C2371,'Smelter Look-up'!$J:$J,0))</f>
        <v>#N/A</v>
      </c>
      <c r="W2371" s="276"/>
      <c r="X2371" s="276">
        <f t="shared" ca="1" si="337"/>
        <v>0</v>
      </c>
      <c r="Y2371" s="276"/>
      <c r="Z2371" s="276"/>
      <c r="AB2371" s="278" t="str">
        <f t="shared" si="338"/>
        <v/>
      </c>
    </row>
    <row r="2372" spans="1:28" s="277" customFormat="1" ht="20.25">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36"/>
        <v/>
      </c>
      <c r="T2372" s="225" t="str">
        <f ca="1">IF(B2372="","",IF(ISERROR(MATCH($J2372,SorP!$B$1:$B$6230,0)),"",INDIRECT("'SorP'!$A$"&amp;MATCH($J2372,SorP!$B$1:$B$6230,0))))</f>
        <v/>
      </c>
      <c r="U2372" s="241"/>
      <c r="V2372" s="275" t="e">
        <f>IF(C2372="",NA(),MATCH($B2372&amp;$C2372,'Smelter Look-up'!$J:$J,0))</f>
        <v>#N/A</v>
      </c>
      <c r="W2372" s="276"/>
      <c r="X2372" s="276">
        <f t="shared" ca="1" si="337"/>
        <v>0</v>
      </c>
      <c r="Y2372" s="276"/>
      <c r="Z2372" s="276"/>
      <c r="AB2372" s="278" t="str">
        <f t="shared" si="338"/>
        <v/>
      </c>
    </row>
    <row r="2373" spans="1:28" s="277" customFormat="1" ht="20.25">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36"/>
        <v/>
      </c>
      <c r="T2373" s="225" t="str">
        <f ca="1">IF(B2373="","",IF(ISERROR(MATCH($J2373,SorP!$B$1:$B$6230,0)),"",INDIRECT("'SorP'!$A$"&amp;MATCH($J2373,SorP!$B$1:$B$6230,0))))</f>
        <v/>
      </c>
      <c r="U2373" s="241"/>
      <c r="V2373" s="275" t="e">
        <f>IF(C2373="",NA(),MATCH($B2373&amp;$C2373,'Smelter Look-up'!$J:$J,0))</f>
        <v>#N/A</v>
      </c>
      <c r="W2373" s="276"/>
      <c r="X2373" s="276">
        <f t="shared" ca="1" si="337"/>
        <v>0</v>
      </c>
      <c r="Y2373" s="276"/>
      <c r="Z2373" s="276"/>
      <c r="AB2373" s="278" t="str">
        <f t="shared" si="338"/>
        <v/>
      </c>
    </row>
    <row r="2374" spans="1:28" s="277" customFormat="1" ht="20.25">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36"/>
        <v/>
      </c>
      <c r="T2374" s="225" t="str">
        <f ca="1">IF(B2374="","",IF(ISERROR(MATCH($J2374,SorP!$B$1:$B$6230,0)),"",INDIRECT("'SorP'!$A$"&amp;MATCH($J2374,SorP!$B$1:$B$6230,0))))</f>
        <v/>
      </c>
      <c r="U2374" s="241"/>
      <c r="V2374" s="275" t="e">
        <f>IF(C2374="",NA(),MATCH($B2374&amp;$C2374,'Smelter Look-up'!$J:$J,0))</f>
        <v>#N/A</v>
      </c>
      <c r="W2374" s="276"/>
      <c r="X2374" s="276">
        <f t="shared" ca="1" si="337"/>
        <v>0</v>
      </c>
      <c r="Y2374" s="276"/>
      <c r="Z2374" s="276"/>
      <c r="AB2374" s="278" t="str">
        <f t="shared" si="338"/>
        <v/>
      </c>
    </row>
    <row r="2375" spans="1:28" s="277" customFormat="1" ht="20.25">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36"/>
        <v/>
      </c>
      <c r="T2375" s="225" t="str">
        <f ca="1">IF(B2375="","",IF(ISERROR(MATCH($J2375,SorP!$B$1:$B$6230,0)),"",INDIRECT("'SorP'!$A$"&amp;MATCH($J2375,SorP!$B$1:$B$6230,0))))</f>
        <v/>
      </c>
      <c r="U2375" s="241"/>
      <c r="V2375" s="275" t="e">
        <f>IF(C2375="",NA(),MATCH($B2375&amp;$C2375,'Smelter Look-up'!$J:$J,0))</f>
        <v>#N/A</v>
      </c>
      <c r="W2375" s="276"/>
      <c r="X2375" s="276">
        <f t="shared" ca="1" si="337"/>
        <v>0</v>
      </c>
      <c r="Y2375" s="276"/>
      <c r="Z2375" s="276"/>
      <c r="AB2375" s="278" t="str">
        <f t="shared" si="338"/>
        <v/>
      </c>
    </row>
    <row r="2376" spans="1:28" s="277" customFormat="1" ht="20.25">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36"/>
        <v/>
      </c>
      <c r="T2376" s="225" t="str">
        <f ca="1">IF(B2376="","",IF(ISERROR(MATCH($J2376,SorP!$B$1:$B$6230,0)),"",INDIRECT("'SorP'!$A$"&amp;MATCH($J2376,SorP!$B$1:$B$6230,0))))</f>
        <v/>
      </c>
      <c r="U2376" s="241"/>
      <c r="V2376" s="275" t="e">
        <f>IF(C2376="",NA(),MATCH($B2376&amp;$C2376,'Smelter Look-up'!$J:$J,0))</f>
        <v>#N/A</v>
      </c>
      <c r="W2376" s="276"/>
      <c r="X2376" s="276">
        <f t="shared" ca="1" si="337"/>
        <v>0</v>
      </c>
      <c r="Y2376" s="276"/>
      <c r="Z2376" s="276"/>
      <c r="AB2376" s="278" t="str">
        <f t="shared" si="338"/>
        <v/>
      </c>
    </row>
    <row r="2377" spans="1:28" s="277" customFormat="1" ht="20.25">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36"/>
        <v/>
      </c>
      <c r="T2377" s="225" t="str">
        <f ca="1">IF(B2377="","",IF(ISERROR(MATCH($J2377,SorP!$B$1:$B$6230,0)),"",INDIRECT("'SorP'!$A$"&amp;MATCH($J2377,SorP!$B$1:$B$6230,0))))</f>
        <v/>
      </c>
      <c r="U2377" s="241"/>
      <c r="V2377" s="275" t="e">
        <f>IF(C2377="",NA(),MATCH($B2377&amp;$C2377,'Smelter Look-up'!$J:$J,0))</f>
        <v>#N/A</v>
      </c>
      <c r="W2377" s="276"/>
      <c r="X2377" s="276">
        <f t="shared" ca="1" si="337"/>
        <v>0</v>
      </c>
      <c r="Y2377" s="276"/>
      <c r="Z2377" s="276"/>
      <c r="AB2377" s="278" t="str">
        <f t="shared" si="338"/>
        <v/>
      </c>
    </row>
    <row r="2378" spans="1:28" s="277" customFormat="1" ht="20.25">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36"/>
        <v/>
      </c>
      <c r="T2378" s="225" t="str">
        <f ca="1">IF(B2378="","",IF(ISERROR(MATCH($J2378,SorP!$B$1:$B$6230,0)),"",INDIRECT("'SorP'!$A$"&amp;MATCH($J2378,SorP!$B$1:$B$6230,0))))</f>
        <v/>
      </c>
      <c r="U2378" s="241"/>
      <c r="V2378" s="275" t="e">
        <f>IF(C2378="",NA(),MATCH($B2378&amp;$C2378,'Smelter Look-up'!$J:$J,0))</f>
        <v>#N/A</v>
      </c>
      <c r="W2378" s="276"/>
      <c r="X2378" s="276">
        <f t="shared" ca="1" si="337"/>
        <v>0</v>
      </c>
      <c r="Y2378" s="276"/>
      <c r="Z2378" s="276"/>
      <c r="AB2378" s="278" t="str">
        <f t="shared" si="338"/>
        <v/>
      </c>
    </row>
    <row r="2379" spans="1:28" s="277" customFormat="1" ht="20.25">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36"/>
        <v/>
      </c>
      <c r="T2379" s="225" t="str">
        <f ca="1">IF(B2379="","",IF(ISERROR(MATCH($J2379,SorP!$B$1:$B$6230,0)),"",INDIRECT("'SorP'!$A$"&amp;MATCH($J2379,SorP!$B$1:$B$6230,0))))</f>
        <v/>
      </c>
      <c r="U2379" s="241"/>
      <c r="V2379" s="275" t="e">
        <f>IF(C2379="",NA(),MATCH($B2379&amp;$C2379,'Smelter Look-up'!$J:$J,0))</f>
        <v>#N/A</v>
      </c>
      <c r="W2379" s="276"/>
      <c r="X2379" s="276">
        <f t="shared" ca="1" si="337"/>
        <v>0</v>
      </c>
      <c r="Y2379" s="276"/>
      <c r="Z2379" s="276"/>
      <c r="AB2379" s="278" t="str">
        <f t="shared" si="338"/>
        <v/>
      </c>
    </row>
    <row r="2380" spans="1:28" s="277" customFormat="1" ht="20.25">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36"/>
        <v/>
      </c>
      <c r="T2380" s="225" t="str">
        <f ca="1">IF(B2380="","",IF(ISERROR(MATCH($J2380,SorP!$B$1:$B$6230,0)),"",INDIRECT("'SorP'!$A$"&amp;MATCH($J2380,SorP!$B$1:$B$6230,0))))</f>
        <v/>
      </c>
      <c r="U2380" s="241"/>
      <c r="V2380" s="275" t="e">
        <f>IF(C2380="",NA(),MATCH($B2380&amp;$C2380,'Smelter Look-up'!$J:$J,0))</f>
        <v>#N/A</v>
      </c>
      <c r="W2380" s="276"/>
      <c r="X2380" s="276">
        <f t="shared" ca="1" si="337"/>
        <v>0</v>
      </c>
      <c r="Y2380" s="276"/>
      <c r="Z2380" s="276"/>
      <c r="AB2380" s="278" t="str">
        <f t="shared" si="338"/>
        <v/>
      </c>
    </row>
    <row r="2381" spans="1:28" s="277" customFormat="1" ht="20.25">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36"/>
        <v/>
      </c>
      <c r="T2381" s="225" t="str">
        <f ca="1">IF(B2381="","",IF(ISERROR(MATCH($J2381,SorP!$B$1:$B$6230,0)),"",INDIRECT("'SorP'!$A$"&amp;MATCH($J2381,SorP!$B$1:$B$6230,0))))</f>
        <v/>
      </c>
      <c r="U2381" s="241"/>
      <c r="V2381" s="275" t="e">
        <f>IF(C2381="",NA(),MATCH($B2381&amp;$C2381,'Smelter Look-up'!$J:$J,0))</f>
        <v>#N/A</v>
      </c>
      <c r="W2381" s="276"/>
      <c r="X2381" s="276">
        <f t="shared" ca="1" si="337"/>
        <v>0</v>
      </c>
      <c r="Y2381" s="276"/>
      <c r="Z2381" s="276"/>
      <c r="AB2381" s="278" t="str">
        <f t="shared" si="338"/>
        <v/>
      </c>
    </row>
    <row r="2382" spans="1:28" s="277" customFormat="1" ht="20.25">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36"/>
        <v/>
      </c>
      <c r="T2382" s="225" t="str">
        <f ca="1">IF(B2382="","",IF(ISERROR(MATCH($J2382,SorP!$B$1:$B$6230,0)),"",INDIRECT("'SorP'!$A$"&amp;MATCH($J2382,SorP!$B$1:$B$6230,0))))</f>
        <v/>
      </c>
      <c r="U2382" s="241"/>
      <c r="V2382" s="275" t="e">
        <f>IF(C2382="",NA(),MATCH($B2382&amp;$C2382,'Smelter Look-up'!$J:$J,0))</f>
        <v>#N/A</v>
      </c>
      <c r="W2382" s="276"/>
      <c r="X2382" s="276">
        <f t="shared" ca="1" si="337"/>
        <v>0</v>
      </c>
      <c r="Y2382" s="276"/>
      <c r="Z2382" s="276"/>
      <c r="AB2382" s="278" t="str">
        <f t="shared" si="338"/>
        <v/>
      </c>
    </row>
    <row r="2383" spans="1:28" s="277" customFormat="1" ht="20.25">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36"/>
        <v/>
      </c>
      <c r="T2383" s="225" t="str">
        <f ca="1">IF(B2383="","",IF(ISERROR(MATCH($J2383,SorP!$B$1:$B$6230,0)),"",INDIRECT("'SorP'!$A$"&amp;MATCH($J2383,SorP!$B$1:$B$6230,0))))</f>
        <v/>
      </c>
      <c r="U2383" s="241"/>
      <c r="V2383" s="275" t="e">
        <f>IF(C2383="",NA(),MATCH($B2383&amp;$C2383,'Smelter Look-up'!$J:$J,0))</f>
        <v>#N/A</v>
      </c>
      <c r="W2383" s="276"/>
      <c r="X2383" s="276">
        <f t="shared" ca="1" si="337"/>
        <v>0</v>
      </c>
      <c r="Y2383" s="276"/>
      <c r="Z2383" s="276"/>
      <c r="AB2383" s="278" t="str">
        <f t="shared" si="338"/>
        <v/>
      </c>
    </row>
    <row r="2384" spans="1:28" s="277" customFormat="1" ht="20.25">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336"/>
        <v/>
      </c>
      <c r="T2384" s="225" t="str">
        <f ca="1">IF(B2384="","",IF(ISERROR(MATCH($J2384,SorP!$B$1:$B$6230,0)),"",INDIRECT("'SorP'!$A$"&amp;MATCH($J2384,SorP!$B$1:$B$6230,0))))</f>
        <v/>
      </c>
      <c r="U2384" s="241"/>
      <c r="V2384" s="275" t="e">
        <f>IF(C2384="",NA(),MATCH($B2384&amp;$C2384,'Smelter Look-up'!$J:$J,0))</f>
        <v>#N/A</v>
      </c>
      <c r="W2384" s="276"/>
      <c r="X2384" s="276">
        <f t="shared" ca="1" si="337"/>
        <v>0</v>
      </c>
      <c r="Y2384" s="276"/>
      <c r="Z2384" s="276"/>
      <c r="AB2384" s="278" t="str">
        <f t="shared" si="338"/>
        <v/>
      </c>
    </row>
    <row r="2385" spans="1:28" s="277" customFormat="1" ht="20.25">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36"/>
        <v/>
      </c>
      <c r="T2385" s="225" t="str">
        <f ca="1">IF(B2385="","",IF(ISERROR(MATCH($J2385,SorP!$B$1:$B$6230,0)),"",INDIRECT("'SorP'!$A$"&amp;MATCH($J2385,SorP!$B$1:$B$6230,0))))</f>
        <v/>
      </c>
      <c r="U2385" s="241"/>
      <c r="V2385" s="275" t="e">
        <f>IF(C2385="",NA(),MATCH($B2385&amp;$C2385,'Smelter Look-up'!$J:$J,0))</f>
        <v>#N/A</v>
      </c>
      <c r="W2385" s="276"/>
      <c r="X2385" s="276">
        <f t="shared" ca="1" si="337"/>
        <v>0</v>
      </c>
      <c r="Y2385" s="276"/>
      <c r="Z2385" s="276"/>
      <c r="AB2385" s="278" t="str">
        <f t="shared" si="338"/>
        <v/>
      </c>
    </row>
    <row r="2386" spans="1:28" s="277" customFormat="1" ht="20.25">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336"/>
        <v/>
      </c>
      <c r="T2386" s="225" t="str">
        <f ca="1">IF(B2386="","",IF(ISERROR(MATCH($J2386,SorP!$B$1:$B$6230,0)),"",INDIRECT("'SorP'!$A$"&amp;MATCH($J2386,SorP!$B$1:$B$6230,0))))</f>
        <v/>
      </c>
      <c r="U2386" s="241"/>
      <c r="V2386" s="275" t="e">
        <f>IF(C2386="",NA(),MATCH($B2386&amp;$C2386,'Smelter Look-up'!$J:$J,0))</f>
        <v>#N/A</v>
      </c>
      <c r="W2386" s="276"/>
      <c r="X2386" s="276">
        <f t="shared" ca="1" si="337"/>
        <v>0</v>
      </c>
      <c r="Y2386" s="276"/>
      <c r="Z2386" s="276"/>
      <c r="AB2386" s="278" t="str">
        <f t="shared" si="338"/>
        <v/>
      </c>
    </row>
    <row r="2387" spans="1:28" s="277" customFormat="1" ht="20.25">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36"/>
        <v/>
      </c>
      <c r="T2387" s="225" t="str">
        <f ca="1">IF(B2387="","",IF(ISERROR(MATCH($J2387,SorP!$B$1:$B$6230,0)),"",INDIRECT("'SorP'!$A$"&amp;MATCH($J2387,SorP!$B$1:$B$6230,0))))</f>
        <v/>
      </c>
      <c r="U2387" s="241"/>
      <c r="V2387" s="275" t="e">
        <f>IF(C2387="",NA(),MATCH($B2387&amp;$C2387,'Smelter Look-up'!$J:$J,0))</f>
        <v>#N/A</v>
      </c>
      <c r="W2387" s="276"/>
      <c r="X2387" s="276">
        <f t="shared" ca="1" si="337"/>
        <v>0</v>
      </c>
      <c r="Y2387" s="276"/>
      <c r="Z2387" s="276"/>
      <c r="AB2387" s="278" t="str">
        <f t="shared" si="338"/>
        <v/>
      </c>
    </row>
    <row r="2388" spans="1:28" s="277" customFormat="1" ht="20.25">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36"/>
        <v/>
      </c>
      <c r="T2388" s="225" t="str">
        <f ca="1">IF(B2388="","",IF(ISERROR(MATCH($J2388,SorP!$B$1:$B$6230,0)),"",INDIRECT("'SorP'!$A$"&amp;MATCH($J2388,SorP!$B$1:$B$6230,0))))</f>
        <v/>
      </c>
      <c r="U2388" s="241"/>
      <c r="V2388" s="275" t="e">
        <f>IF(C2388="",NA(),MATCH($B2388&amp;$C2388,'Smelter Look-up'!$J:$J,0))</f>
        <v>#N/A</v>
      </c>
      <c r="W2388" s="276"/>
      <c r="X2388" s="276">
        <f t="shared" ca="1" si="337"/>
        <v>0</v>
      </c>
      <c r="Y2388" s="276"/>
      <c r="Z2388" s="276"/>
      <c r="AB2388" s="278" t="str">
        <f t="shared" si="338"/>
        <v/>
      </c>
    </row>
    <row r="2389" spans="1:28" s="277" customFormat="1" ht="20.25">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36"/>
        <v/>
      </c>
      <c r="T2389" s="225" t="str">
        <f ca="1">IF(B2389="","",IF(ISERROR(MATCH($J2389,SorP!$B$1:$B$6230,0)),"",INDIRECT("'SorP'!$A$"&amp;MATCH($J2389,SorP!$B$1:$B$6230,0))))</f>
        <v/>
      </c>
      <c r="U2389" s="241"/>
      <c r="V2389" s="275" t="e">
        <f>IF(C2389="",NA(),MATCH($B2389&amp;$C2389,'Smelter Look-up'!$J:$J,0))</f>
        <v>#N/A</v>
      </c>
      <c r="W2389" s="276"/>
      <c r="X2389" s="276">
        <f t="shared" ca="1" si="337"/>
        <v>0</v>
      </c>
      <c r="Y2389" s="276"/>
      <c r="Z2389" s="276"/>
      <c r="AB2389" s="278" t="str">
        <f t="shared" si="338"/>
        <v/>
      </c>
    </row>
    <row r="2390" spans="1:28" s="277" customFormat="1" ht="20.25">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36"/>
        <v/>
      </c>
      <c r="T2390" s="225" t="str">
        <f ca="1">IF(B2390="","",IF(ISERROR(MATCH($J2390,SorP!$B$1:$B$6230,0)),"",INDIRECT("'SorP'!$A$"&amp;MATCH($J2390,SorP!$B$1:$B$6230,0))))</f>
        <v/>
      </c>
      <c r="U2390" s="241"/>
      <c r="V2390" s="275" t="e">
        <f>IF(C2390="",NA(),MATCH($B2390&amp;$C2390,'Smelter Look-up'!$J:$J,0))</f>
        <v>#N/A</v>
      </c>
      <c r="W2390" s="276"/>
      <c r="X2390" s="276">
        <f t="shared" ca="1" si="337"/>
        <v>0</v>
      </c>
      <c r="Y2390" s="276"/>
      <c r="Z2390" s="276"/>
      <c r="AB2390" s="278" t="str">
        <f t="shared" si="338"/>
        <v/>
      </c>
    </row>
    <row r="2391" spans="1:28" s="277" customFormat="1" ht="20.25">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36"/>
        <v/>
      </c>
      <c r="T2391" s="225" t="str">
        <f ca="1">IF(B2391="","",IF(ISERROR(MATCH($J2391,SorP!$B$1:$B$6230,0)),"",INDIRECT("'SorP'!$A$"&amp;MATCH($J2391,SorP!$B$1:$B$6230,0))))</f>
        <v/>
      </c>
      <c r="U2391" s="241"/>
      <c r="V2391" s="275" t="e">
        <f>IF(C2391="",NA(),MATCH($B2391&amp;$C2391,'Smelter Look-up'!$J:$J,0))</f>
        <v>#N/A</v>
      </c>
      <c r="W2391" s="276"/>
      <c r="X2391" s="276">
        <f t="shared" ca="1" si="337"/>
        <v>0</v>
      </c>
      <c r="Y2391" s="276"/>
      <c r="Z2391" s="276"/>
      <c r="AB2391" s="278" t="str">
        <f t="shared" si="338"/>
        <v/>
      </c>
    </row>
    <row r="2392" spans="1:28" s="277" customFormat="1" ht="20.25">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36"/>
        <v/>
      </c>
      <c r="T2392" s="225" t="str">
        <f ca="1">IF(B2392="","",IF(ISERROR(MATCH($J2392,SorP!$B$1:$B$6230,0)),"",INDIRECT("'SorP'!$A$"&amp;MATCH($J2392,SorP!$B$1:$B$6230,0))))</f>
        <v/>
      </c>
      <c r="U2392" s="241"/>
      <c r="V2392" s="275" t="e">
        <f>IF(C2392="",NA(),MATCH($B2392&amp;$C2392,'Smelter Look-up'!$J:$J,0))</f>
        <v>#N/A</v>
      </c>
      <c r="W2392" s="276"/>
      <c r="X2392" s="276">
        <f t="shared" ca="1" si="337"/>
        <v>0</v>
      </c>
      <c r="Y2392" s="276"/>
      <c r="Z2392" s="276"/>
      <c r="AB2392" s="278" t="str">
        <f t="shared" si="338"/>
        <v/>
      </c>
    </row>
    <row r="2393" spans="1:28" s="277" customFormat="1" ht="20.25">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36"/>
        <v/>
      </c>
      <c r="T2393" s="225" t="str">
        <f ca="1">IF(B2393="","",IF(ISERROR(MATCH($J2393,SorP!$B$1:$B$6230,0)),"",INDIRECT("'SorP'!$A$"&amp;MATCH($J2393,SorP!$B$1:$B$6230,0))))</f>
        <v/>
      </c>
      <c r="U2393" s="241"/>
      <c r="V2393" s="275" t="e">
        <f>IF(C2393="",NA(),MATCH($B2393&amp;$C2393,'Smelter Look-up'!$J:$J,0))</f>
        <v>#N/A</v>
      </c>
      <c r="W2393" s="276"/>
      <c r="X2393" s="276">
        <f t="shared" ca="1" si="337"/>
        <v>0</v>
      </c>
      <c r="Y2393" s="276"/>
      <c r="Z2393" s="276"/>
      <c r="AB2393" s="278" t="str">
        <f t="shared" si="338"/>
        <v/>
      </c>
    </row>
    <row r="2394" spans="1:28" s="277" customFormat="1" ht="20.25">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36"/>
        <v/>
      </c>
      <c r="T2394" s="225" t="str">
        <f ca="1">IF(B2394="","",IF(ISERROR(MATCH($J2394,SorP!$B$1:$B$6230,0)),"",INDIRECT("'SorP'!$A$"&amp;MATCH($J2394,SorP!$B$1:$B$6230,0))))</f>
        <v/>
      </c>
      <c r="U2394" s="241"/>
      <c r="V2394" s="275" t="e">
        <f>IF(C2394="",NA(),MATCH($B2394&amp;$C2394,'Smelter Look-up'!$J:$J,0))</f>
        <v>#N/A</v>
      </c>
      <c r="W2394" s="276"/>
      <c r="X2394" s="276">
        <f t="shared" ca="1" si="337"/>
        <v>0</v>
      </c>
      <c r="Y2394" s="276"/>
      <c r="Z2394" s="276"/>
      <c r="AB2394" s="278" t="str">
        <f t="shared" si="338"/>
        <v/>
      </c>
    </row>
    <row r="2395" spans="1:28" s="277" customFormat="1" ht="20.25">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336"/>
        <v/>
      </c>
      <c r="T2395" s="225" t="str">
        <f ca="1">IF(B2395="","",IF(ISERROR(MATCH($J2395,SorP!$B$1:$B$6230,0)),"",INDIRECT("'SorP'!$A$"&amp;MATCH($J2395,SorP!$B$1:$B$6230,0))))</f>
        <v/>
      </c>
      <c r="U2395" s="241"/>
      <c r="V2395" s="275" t="e">
        <f>IF(C2395="",NA(),MATCH($B2395&amp;$C2395,'Smelter Look-up'!$J:$J,0))</f>
        <v>#N/A</v>
      </c>
      <c r="W2395" s="276"/>
      <c r="X2395" s="276">
        <f t="shared" ca="1" si="337"/>
        <v>0</v>
      </c>
      <c r="Y2395" s="276"/>
      <c r="Z2395" s="276"/>
      <c r="AB2395" s="278" t="str">
        <f t="shared" si="338"/>
        <v/>
      </c>
    </row>
    <row r="2396" spans="1:28" s="277" customFormat="1" ht="20.25">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ref="S2396:S2426" ca="1" si="339">IF(B2396="","",IF(ISERROR(MATCH($E2396,CL,0)),"Unknown",INDIRECT("'C'!$A$"&amp;MATCH($E2396,CL,0)+1)))</f>
        <v/>
      </c>
      <c r="T2396" s="225" t="str">
        <f ca="1">IF(B2396="","",IF(ISERROR(MATCH($J2396,SorP!$B$1:$B$6230,0)),"",INDIRECT("'SorP'!$A$"&amp;MATCH($J2396,SorP!$B$1:$B$6230,0))))</f>
        <v/>
      </c>
      <c r="U2396" s="241"/>
      <c r="V2396" s="275" t="e">
        <f>IF(C2396="",NA(),MATCH($B2396&amp;$C2396,'Smelter Look-up'!$J:$J,0))</f>
        <v>#N/A</v>
      </c>
      <c r="W2396" s="276"/>
      <c r="X2396" s="276">
        <f t="shared" ref="X2396:X2426" ca="1" si="340">IF(AND(C2396="Smelter not listed",OR(LEN(D2396)=0,LEN(E2396)=0)),1,0)</f>
        <v>0</v>
      </c>
      <c r="Y2396" s="276"/>
      <c r="Z2396" s="276"/>
      <c r="AB2396" s="278" t="str">
        <f t="shared" ref="AB2396:AB2426" si="341">B2396&amp;C2396</f>
        <v/>
      </c>
    </row>
    <row r="2397" spans="1:28" s="277" customFormat="1" ht="20.25">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39"/>
        <v/>
      </c>
      <c r="T2397" s="225" t="str">
        <f ca="1">IF(B2397="","",IF(ISERROR(MATCH($J2397,SorP!$B$1:$B$6230,0)),"",INDIRECT("'SorP'!$A$"&amp;MATCH($J2397,SorP!$B$1:$B$6230,0))))</f>
        <v/>
      </c>
      <c r="U2397" s="241"/>
      <c r="V2397" s="275" t="e">
        <f>IF(C2397="",NA(),MATCH($B2397&amp;$C2397,'Smelter Look-up'!$J:$J,0))</f>
        <v>#N/A</v>
      </c>
      <c r="W2397" s="276"/>
      <c r="X2397" s="276">
        <f t="shared" ca="1" si="340"/>
        <v>0</v>
      </c>
      <c r="Y2397" s="276"/>
      <c r="Z2397" s="276"/>
      <c r="AB2397" s="278" t="str">
        <f t="shared" si="341"/>
        <v/>
      </c>
    </row>
    <row r="2398" spans="1:28" s="277" customFormat="1" ht="20.25">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39"/>
        <v/>
      </c>
      <c r="T2398" s="225" t="str">
        <f ca="1">IF(B2398="","",IF(ISERROR(MATCH($J2398,SorP!$B$1:$B$6230,0)),"",INDIRECT("'SorP'!$A$"&amp;MATCH($J2398,SorP!$B$1:$B$6230,0))))</f>
        <v/>
      </c>
      <c r="U2398" s="241"/>
      <c r="V2398" s="275" t="e">
        <f>IF(C2398="",NA(),MATCH($B2398&amp;$C2398,'Smelter Look-up'!$J:$J,0))</f>
        <v>#N/A</v>
      </c>
      <c r="W2398" s="276"/>
      <c r="X2398" s="276">
        <f t="shared" ca="1" si="340"/>
        <v>0</v>
      </c>
      <c r="Y2398" s="276"/>
      <c r="Z2398" s="276"/>
      <c r="AB2398" s="278" t="str">
        <f t="shared" si="341"/>
        <v/>
      </c>
    </row>
    <row r="2399" spans="1:28" s="277" customFormat="1" ht="20.25">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39"/>
        <v/>
      </c>
      <c r="T2399" s="225" t="str">
        <f ca="1">IF(B2399="","",IF(ISERROR(MATCH($J2399,SorP!$B$1:$B$6230,0)),"",INDIRECT("'SorP'!$A$"&amp;MATCH($J2399,SorP!$B$1:$B$6230,0))))</f>
        <v/>
      </c>
      <c r="U2399" s="241"/>
      <c r="V2399" s="275" t="e">
        <f>IF(C2399="",NA(),MATCH($B2399&amp;$C2399,'Smelter Look-up'!$J:$J,0))</f>
        <v>#N/A</v>
      </c>
      <c r="W2399" s="276"/>
      <c r="X2399" s="276">
        <f t="shared" ca="1" si="340"/>
        <v>0</v>
      </c>
      <c r="Y2399" s="276"/>
      <c r="Z2399" s="276"/>
      <c r="AB2399" s="278" t="str">
        <f t="shared" si="341"/>
        <v/>
      </c>
    </row>
    <row r="2400" spans="1:28" s="277" customFormat="1" ht="20.25">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39"/>
        <v/>
      </c>
      <c r="T2400" s="225" t="str">
        <f ca="1">IF(B2400="","",IF(ISERROR(MATCH($J2400,SorP!$B$1:$B$6230,0)),"",INDIRECT("'SorP'!$A$"&amp;MATCH($J2400,SorP!$B$1:$B$6230,0))))</f>
        <v/>
      </c>
      <c r="U2400" s="241"/>
      <c r="V2400" s="275" t="e">
        <f>IF(C2400="",NA(),MATCH($B2400&amp;$C2400,'Smelter Look-up'!$J:$J,0))</f>
        <v>#N/A</v>
      </c>
      <c r="W2400" s="276"/>
      <c r="X2400" s="276">
        <f t="shared" ca="1" si="340"/>
        <v>0</v>
      </c>
      <c r="Y2400" s="276"/>
      <c r="Z2400" s="276"/>
      <c r="AB2400" s="278" t="str">
        <f t="shared" si="341"/>
        <v/>
      </c>
    </row>
    <row r="2401" spans="1:28" s="277" customFormat="1" ht="20.25">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39"/>
        <v/>
      </c>
      <c r="T2401" s="225" t="str">
        <f ca="1">IF(B2401="","",IF(ISERROR(MATCH($J2401,SorP!$B$1:$B$6230,0)),"",INDIRECT("'SorP'!$A$"&amp;MATCH($J2401,SorP!$B$1:$B$6230,0))))</f>
        <v/>
      </c>
      <c r="U2401" s="241"/>
      <c r="V2401" s="275" t="e">
        <f>IF(C2401="",NA(),MATCH($B2401&amp;$C2401,'Smelter Look-up'!$J:$J,0))</f>
        <v>#N/A</v>
      </c>
      <c r="W2401" s="276"/>
      <c r="X2401" s="276">
        <f t="shared" ca="1" si="340"/>
        <v>0</v>
      </c>
      <c r="Y2401" s="276"/>
      <c r="Z2401" s="276"/>
      <c r="AB2401" s="278" t="str">
        <f t="shared" si="341"/>
        <v/>
      </c>
    </row>
    <row r="2402" spans="1:28" s="277" customFormat="1" ht="20.25">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39"/>
        <v/>
      </c>
      <c r="T2402" s="225" t="str">
        <f ca="1">IF(B2402="","",IF(ISERROR(MATCH($J2402,SorP!$B$1:$B$6230,0)),"",INDIRECT("'SorP'!$A$"&amp;MATCH($J2402,SorP!$B$1:$B$6230,0))))</f>
        <v/>
      </c>
      <c r="U2402" s="241"/>
      <c r="V2402" s="275" t="e">
        <f>IF(C2402="",NA(),MATCH($B2402&amp;$C2402,'Smelter Look-up'!$J:$J,0))</f>
        <v>#N/A</v>
      </c>
      <c r="W2402" s="276"/>
      <c r="X2402" s="276">
        <f t="shared" ca="1" si="340"/>
        <v>0</v>
      </c>
      <c r="Y2402" s="276"/>
      <c r="Z2402" s="276"/>
      <c r="AB2402" s="278" t="str">
        <f t="shared" si="341"/>
        <v/>
      </c>
    </row>
    <row r="2403" spans="1:28" s="277" customFormat="1" ht="20.25">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39"/>
        <v/>
      </c>
      <c r="T2403" s="225" t="str">
        <f ca="1">IF(B2403="","",IF(ISERROR(MATCH($J2403,SorP!$B$1:$B$6230,0)),"",INDIRECT("'SorP'!$A$"&amp;MATCH($J2403,SorP!$B$1:$B$6230,0))))</f>
        <v/>
      </c>
      <c r="U2403" s="241"/>
      <c r="V2403" s="275" t="e">
        <f>IF(C2403="",NA(),MATCH($B2403&amp;$C2403,'Smelter Look-up'!$J:$J,0))</f>
        <v>#N/A</v>
      </c>
      <c r="W2403" s="276"/>
      <c r="X2403" s="276">
        <f t="shared" ca="1" si="340"/>
        <v>0</v>
      </c>
      <c r="Y2403" s="276"/>
      <c r="Z2403" s="276"/>
      <c r="AB2403" s="278" t="str">
        <f t="shared" si="341"/>
        <v/>
      </c>
    </row>
    <row r="2404" spans="1:28" s="277" customFormat="1" ht="20.25">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39"/>
        <v/>
      </c>
      <c r="T2404" s="225" t="str">
        <f ca="1">IF(B2404="","",IF(ISERROR(MATCH($J2404,SorP!$B$1:$B$6230,0)),"",INDIRECT("'SorP'!$A$"&amp;MATCH($J2404,SorP!$B$1:$B$6230,0))))</f>
        <v/>
      </c>
      <c r="U2404" s="241"/>
      <c r="V2404" s="275" t="e">
        <f>IF(C2404="",NA(),MATCH($B2404&amp;$C2404,'Smelter Look-up'!$J:$J,0))</f>
        <v>#N/A</v>
      </c>
      <c r="W2404" s="276"/>
      <c r="X2404" s="276">
        <f t="shared" ca="1" si="340"/>
        <v>0</v>
      </c>
      <c r="Y2404" s="276"/>
      <c r="Z2404" s="276"/>
      <c r="AB2404" s="278" t="str">
        <f t="shared" si="341"/>
        <v/>
      </c>
    </row>
    <row r="2405" spans="1:28" s="277" customFormat="1" ht="20.25">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39"/>
        <v/>
      </c>
      <c r="T2405" s="225" t="str">
        <f ca="1">IF(B2405="","",IF(ISERROR(MATCH($J2405,SorP!$B$1:$B$6230,0)),"",INDIRECT("'SorP'!$A$"&amp;MATCH($J2405,SorP!$B$1:$B$6230,0))))</f>
        <v/>
      </c>
      <c r="U2405" s="241"/>
      <c r="V2405" s="275" t="e">
        <f>IF(C2405="",NA(),MATCH($B2405&amp;$C2405,'Smelter Look-up'!$J:$J,0))</f>
        <v>#N/A</v>
      </c>
      <c r="W2405" s="276"/>
      <c r="X2405" s="276">
        <f t="shared" ca="1" si="340"/>
        <v>0</v>
      </c>
      <c r="Y2405" s="276"/>
      <c r="Z2405" s="276"/>
      <c r="AB2405" s="278" t="str">
        <f t="shared" si="341"/>
        <v/>
      </c>
    </row>
    <row r="2406" spans="1:28" s="277" customFormat="1" ht="20.25">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39"/>
        <v/>
      </c>
      <c r="T2406" s="225" t="str">
        <f ca="1">IF(B2406="","",IF(ISERROR(MATCH($J2406,SorP!$B$1:$B$6230,0)),"",INDIRECT("'SorP'!$A$"&amp;MATCH($J2406,SorP!$B$1:$B$6230,0))))</f>
        <v/>
      </c>
      <c r="U2406" s="241"/>
      <c r="V2406" s="275" t="e">
        <f>IF(C2406="",NA(),MATCH($B2406&amp;$C2406,'Smelter Look-up'!$J:$J,0))</f>
        <v>#N/A</v>
      </c>
      <c r="W2406" s="276"/>
      <c r="X2406" s="276">
        <f t="shared" ca="1" si="340"/>
        <v>0</v>
      </c>
      <c r="Y2406" s="276"/>
      <c r="Z2406" s="276"/>
      <c r="AB2406" s="278" t="str">
        <f t="shared" si="341"/>
        <v/>
      </c>
    </row>
    <row r="2407" spans="1:28" s="277" customFormat="1" ht="20.25">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39"/>
        <v/>
      </c>
      <c r="T2407" s="225" t="str">
        <f ca="1">IF(B2407="","",IF(ISERROR(MATCH($J2407,SorP!$B$1:$B$6230,0)),"",INDIRECT("'SorP'!$A$"&amp;MATCH($J2407,SorP!$B$1:$B$6230,0))))</f>
        <v/>
      </c>
      <c r="U2407" s="241"/>
      <c r="V2407" s="275" t="e">
        <f>IF(C2407="",NA(),MATCH($B2407&amp;$C2407,'Smelter Look-up'!$J:$J,0))</f>
        <v>#N/A</v>
      </c>
      <c r="W2407" s="276"/>
      <c r="X2407" s="276">
        <f t="shared" ca="1" si="340"/>
        <v>0</v>
      </c>
      <c r="Y2407" s="276"/>
      <c r="Z2407" s="276"/>
      <c r="AB2407" s="278" t="str">
        <f t="shared" si="341"/>
        <v/>
      </c>
    </row>
    <row r="2408" spans="1:28" s="277" customFormat="1" ht="20.25">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39"/>
        <v/>
      </c>
      <c r="T2408" s="225" t="str">
        <f ca="1">IF(B2408="","",IF(ISERROR(MATCH($J2408,SorP!$B$1:$B$6230,0)),"",INDIRECT("'SorP'!$A$"&amp;MATCH($J2408,SorP!$B$1:$B$6230,0))))</f>
        <v/>
      </c>
      <c r="U2408" s="241"/>
      <c r="V2408" s="275" t="e">
        <f>IF(C2408="",NA(),MATCH($B2408&amp;$C2408,'Smelter Look-up'!$J:$J,0))</f>
        <v>#N/A</v>
      </c>
      <c r="W2408" s="276"/>
      <c r="X2408" s="276">
        <f t="shared" ca="1" si="340"/>
        <v>0</v>
      </c>
      <c r="Y2408" s="276"/>
      <c r="Z2408" s="276"/>
      <c r="AB2408" s="278" t="str">
        <f t="shared" si="341"/>
        <v/>
      </c>
    </row>
    <row r="2409" spans="1:28" s="277" customFormat="1" ht="20.25">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39"/>
        <v/>
      </c>
      <c r="T2409" s="225" t="str">
        <f ca="1">IF(B2409="","",IF(ISERROR(MATCH($J2409,SorP!$B$1:$B$6230,0)),"",INDIRECT("'SorP'!$A$"&amp;MATCH($J2409,SorP!$B$1:$B$6230,0))))</f>
        <v/>
      </c>
      <c r="U2409" s="241"/>
      <c r="V2409" s="275" t="e">
        <f>IF(C2409="",NA(),MATCH($B2409&amp;$C2409,'Smelter Look-up'!$J:$J,0))</f>
        <v>#N/A</v>
      </c>
      <c r="W2409" s="276"/>
      <c r="X2409" s="276">
        <f t="shared" ca="1" si="340"/>
        <v>0</v>
      </c>
      <c r="Y2409" s="276"/>
      <c r="Z2409" s="276"/>
      <c r="AB2409" s="278" t="str">
        <f t="shared" si="341"/>
        <v/>
      </c>
    </row>
    <row r="2410" spans="1:28" s="277" customFormat="1" ht="20.25">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39"/>
        <v/>
      </c>
      <c r="T2410" s="225" t="str">
        <f ca="1">IF(B2410="","",IF(ISERROR(MATCH($J2410,SorP!$B$1:$B$6230,0)),"",INDIRECT("'SorP'!$A$"&amp;MATCH($J2410,SorP!$B$1:$B$6230,0))))</f>
        <v/>
      </c>
      <c r="U2410" s="241"/>
      <c r="V2410" s="275" t="e">
        <f>IF(C2410="",NA(),MATCH($B2410&amp;$C2410,'Smelter Look-up'!$J:$J,0))</f>
        <v>#N/A</v>
      </c>
      <c r="W2410" s="276"/>
      <c r="X2410" s="276">
        <f t="shared" ca="1" si="340"/>
        <v>0</v>
      </c>
      <c r="Y2410" s="276"/>
      <c r="Z2410" s="276"/>
      <c r="AB2410" s="278" t="str">
        <f t="shared" si="341"/>
        <v/>
      </c>
    </row>
    <row r="2411" spans="1:28" s="277" customFormat="1" ht="20.25">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39"/>
        <v/>
      </c>
      <c r="T2411" s="225" t="str">
        <f ca="1">IF(B2411="","",IF(ISERROR(MATCH($J2411,SorP!$B$1:$B$6230,0)),"",INDIRECT("'SorP'!$A$"&amp;MATCH($J2411,SorP!$B$1:$B$6230,0))))</f>
        <v/>
      </c>
      <c r="U2411" s="241"/>
      <c r="V2411" s="275" t="e">
        <f>IF(C2411="",NA(),MATCH($B2411&amp;$C2411,'Smelter Look-up'!$J:$J,0))</f>
        <v>#N/A</v>
      </c>
      <c r="W2411" s="276"/>
      <c r="X2411" s="276">
        <f t="shared" ca="1" si="340"/>
        <v>0</v>
      </c>
      <c r="Y2411" s="276"/>
      <c r="Z2411" s="276"/>
      <c r="AB2411" s="278" t="str">
        <f t="shared" si="341"/>
        <v/>
      </c>
    </row>
    <row r="2412" spans="1:28" s="277" customFormat="1" ht="20.25">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39"/>
        <v/>
      </c>
      <c r="T2412" s="225" t="str">
        <f ca="1">IF(B2412="","",IF(ISERROR(MATCH($J2412,SorP!$B$1:$B$6230,0)),"",INDIRECT("'SorP'!$A$"&amp;MATCH($J2412,SorP!$B$1:$B$6230,0))))</f>
        <v/>
      </c>
      <c r="U2412" s="241"/>
      <c r="V2412" s="275" t="e">
        <f>IF(C2412="",NA(),MATCH($B2412&amp;$C2412,'Smelter Look-up'!$J:$J,0))</f>
        <v>#N/A</v>
      </c>
      <c r="W2412" s="276"/>
      <c r="X2412" s="276">
        <f t="shared" ca="1" si="340"/>
        <v>0</v>
      </c>
      <c r="Y2412" s="276"/>
      <c r="Z2412" s="276"/>
      <c r="AB2412" s="278" t="str">
        <f t="shared" si="341"/>
        <v/>
      </c>
    </row>
    <row r="2413" spans="1:28" s="277" customFormat="1" ht="20.25">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39"/>
        <v/>
      </c>
      <c r="T2413" s="225" t="str">
        <f ca="1">IF(B2413="","",IF(ISERROR(MATCH($J2413,SorP!$B$1:$B$6230,0)),"",INDIRECT("'SorP'!$A$"&amp;MATCH($J2413,SorP!$B$1:$B$6230,0))))</f>
        <v/>
      </c>
      <c r="U2413" s="241"/>
      <c r="V2413" s="275" t="e">
        <f>IF(C2413="",NA(),MATCH($B2413&amp;$C2413,'Smelter Look-up'!$J:$J,0))</f>
        <v>#N/A</v>
      </c>
      <c r="W2413" s="276"/>
      <c r="X2413" s="276">
        <f t="shared" ca="1" si="340"/>
        <v>0</v>
      </c>
      <c r="Y2413" s="276"/>
      <c r="Z2413" s="276"/>
      <c r="AB2413" s="278" t="str">
        <f t="shared" si="341"/>
        <v/>
      </c>
    </row>
    <row r="2414" spans="1:28" s="277" customFormat="1" ht="20.25">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39"/>
        <v/>
      </c>
      <c r="T2414" s="225" t="str">
        <f ca="1">IF(B2414="","",IF(ISERROR(MATCH($J2414,SorP!$B$1:$B$6230,0)),"",INDIRECT("'SorP'!$A$"&amp;MATCH($J2414,SorP!$B$1:$B$6230,0))))</f>
        <v/>
      </c>
      <c r="U2414" s="241"/>
      <c r="V2414" s="275" t="e">
        <f>IF(C2414="",NA(),MATCH($B2414&amp;$C2414,'Smelter Look-up'!$J:$J,0))</f>
        <v>#N/A</v>
      </c>
      <c r="W2414" s="276"/>
      <c r="X2414" s="276">
        <f t="shared" ca="1" si="340"/>
        <v>0</v>
      </c>
      <c r="Y2414" s="276"/>
      <c r="Z2414" s="276"/>
      <c r="AB2414" s="278" t="str">
        <f t="shared" si="341"/>
        <v/>
      </c>
    </row>
    <row r="2415" spans="1:28" s="277" customFormat="1" ht="20.25">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339"/>
        <v/>
      </c>
      <c r="T2415" s="225" t="str">
        <f ca="1">IF(B2415="","",IF(ISERROR(MATCH($J2415,SorP!$B$1:$B$6230,0)),"",INDIRECT("'SorP'!$A$"&amp;MATCH($J2415,SorP!$B$1:$B$6230,0))))</f>
        <v/>
      </c>
      <c r="U2415" s="241"/>
      <c r="V2415" s="275" t="e">
        <f>IF(C2415="",NA(),MATCH($B2415&amp;$C2415,'Smelter Look-up'!$J:$J,0))</f>
        <v>#N/A</v>
      </c>
      <c r="W2415" s="276"/>
      <c r="X2415" s="276">
        <f t="shared" ca="1" si="340"/>
        <v>0</v>
      </c>
      <c r="Y2415" s="276"/>
      <c r="Z2415" s="276"/>
      <c r="AB2415" s="278" t="str">
        <f t="shared" si="341"/>
        <v/>
      </c>
    </row>
    <row r="2416" spans="1:28" s="277" customFormat="1" ht="20.25">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339"/>
        <v/>
      </c>
      <c r="T2416" s="225" t="str">
        <f ca="1">IF(B2416="","",IF(ISERROR(MATCH($J2416,SorP!$B$1:$B$6230,0)),"",INDIRECT("'SorP'!$A$"&amp;MATCH($J2416,SorP!$B$1:$B$6230,0))))</f>
        <v/>
      </c>
      <c r="U2416" s="241"/>
      <c r="V2416" s="275" t="e">
        <f>IF(C2416="",NA(),MATCH($B2416&amp;$C2416,'Smelter Look-up'!$J:$J,0))</f>
        <v>#N/A</v>
      </c>
      <c r="W2416" s="276"/>
      <c r="X2416" s="276">
        <f t="shared" ca="1" si="340"/>
        <v>0</v>
      </c>
      <c r="Y2416" s="276"/>
      <c r="Z2416" s="276"/>
      <c r="AB2416" s="278" t="str">
        <f t="shared" si="341"/>
        <v/>
      </c>
    </row>
    <row r="2417" spans="1:28" s="277" customFormat="1" ht="20.25">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ca="1" si="339"/>
        <v/>
      </c>
      <c r="T2417" s="225" t="str">
        <f ca="1">IF(B2417="","",IF(ISERROR(MATCH($J2417,SorP!$B$1:$B$6230,0)),"",INDIRECT("'SorP'!$A$"&amp;MATCH($J2417,SorP!$B$1:$B$6230,0))))</f>
        <v/>
      </c>
      <c r="U2417" s="241"/>
      <c r="V2417" s="275" t="e">
        <f>IF(C2417="",NA(),MATCH($B2417&amp;$C2417,'Smelter Look-up'!$J:$J,0))</f>
        <v>#N/A</v>
      </c>
      <c r="W2417" s="276"/>
      <c r="X2417" s="276">
        <f t="shared" ca="1" si="340"/>
        <v>0</v>
      </c>
      <c r="Y2417" s="276"/>
      <c r="Z2417" s="276"/>
      <c r="AB2417" s="278" t="str">
        <f t="shared" si="341"/>
        <v/>
      </c>
    </row>
    <row r="2418" spans="1:28" s="277" customFormat="1" ht="20.25">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ca="1" si="339"/>
        <v/>
      </c>
      <c r="T2418" s="225" t="str">
        <f ca="1">IF(B2418="","",IF(ISERROR(MATCH($J2418,SorP!$B$1:$B$6230,0)),"",INDIRECT("'SorP'!$A$"&amp;MATCH($J2418,SorP!$B$1:$B$6230,0))))</f>
        <v/>
      </c>
      <c r="U2418" s="241"/>
      <c r="V2418" s="275" t="e">
        <f>IF(C2418="",NA(),MATCH($B2418&amp;$C2418,'Smelter Look-up'!$J:$J,0))</f>
        <v>#N/A</v>
      </c>
      <c r="W2418" s="276"/>
      <c r="X2418" s="276">
        <f t="shared" ca="1" si="340"/>
        <v>0</v>
      </c>
      <c r="Y2418" s="276"/>
      <c r="Z2418" s="276"/>
      <c r="AB2418" s="278" t="str">
        <f t="shared" si="341"/>
        <v/>
      </c>
    </row>
    <row r="2419" spans="1:28" s="277" customFormat="1" ht="20.25">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39"/>
        <v/>
      </c>
      <c r="T2419" s="225" t="str">
        <f ca="1">IF(B2419="","",IF(ISERROR(MATCH($J2419,SorP!$B$1:$B$6230,0)),"",INDIRECT("'SorP'!$A$"&amp;MATCH($J2419,SorP!$B$1:$B$6230,0))))</f>
        <v/>
      </c>
      <c r="U2419" s="241"/>
      <c r="V2419" s="275" t="e">
        <f>IF(C2419="",NA(),MATCH($B2419&amp;$C2419,'Smelter Look-up'!$J:$J,0))</f>
        <v>#N/A</v>
      </c>
      <c r="W2419" s="276"/>
      <c r="X2419" s="276">
        <f t="shared" ca="1" si="340"/>
        <v>0</v>
      </c>
      <c r="Y2419" s="276"/>
      <c r="Z2419" s="276"/>
      <c r="AB2419" s="278" t="str">
        <f t="shared" si="341"/>
        <v/>
      </c>
    </row>
    <row r="2420" spans="1:28" s="277" customFormat="1" ht="20.25">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39"/>
        <v/>
      </c>
      <c r="T2420" s="225" t="str">
        <f ca="1">IF(B2420="","",IF(ISERROR(MATCH($J2420,SorP!$B$1:$B$6230,0)),"",INDIRECT("'SorP'!$A$"&amp;MATCH($J2420,SorP!$B$1:$B$6230,0))))</f>
        <v/>
      </c>
      <c r="U2420" s="241"/>
      <c r="V2420" s="275" t="e">
        <f>IF(C2420="",NA(),MATCH($B2420&amp;$C2420,'Smelter Look-up'!$J:$J,0))</f>
        <v>#N/A</v>
      </c>
      <c r="W2420" s="276"/>
      <c r="X2420" s="276">
        <f t="shared" ca="1" si="340"/>
        <v>0</v>
      </c>
      <c r="Y2420" s="276"/>
      <c r="Z2420" s="276"/>
      <c r="AB2420" s="278" t="str">
        <f t="shared" si="341"/>
        <v/>
      </c>
    </row>
    <row r="2421" spans="1:28" s="277" customFormat="1" ht="20.25">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39"/>
        <v/>
      </c>
      <c r="T2421" s="225" t="str">
        <f ca="1">IF(B2421="","",IF(ISERROR(MATCH($J2421,SorP!$B$1:$B$6230,0)),"",INDIRECT("'SorP'!$A$"&amp;MATCH($J2421,SorP!$B$1:$B$6230,0))))</f>
        <v/>
      </c>
      <c r="U2421" s="241"/>
      <c r="V2421" s="275" t="e">
        <f>IF(C2421="",NA(),MATCH($B2421&amp;$C2421,'Smelter Look-up'!$J:$J,0))</f>
        <v>#N/A</v>
      </c>
      <c r="W2421" s="276"/>
      <c r="X2421" s="276">
        <f t="shared" ca="1" si="340"/>
        <v>0</v>
      </c>
      <c r="Y2421" s="276"/>
      <c r="Z2421" s="276"/>
      <c r="AB2421" s="278" t="str">
        <f t="shared" si="341"/>
        <v/>
      </c>
    </row>
    <row r="2422" spans="1:28" s="277" customFormat="1" ht="20.25">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39"/>
        <v/>
      </c>
      <c r="T2422" s="225" t="str">
        <f ca="1">IF(B2422="","",IF(ISERROR(MATCH($J2422,SorP!$B$1:$B$6230,0)),"",INDIRECT("'SorP'!$A$"&amp;MATCH($J2422,SorP!$B$1:$B$6230,0))))</f>
        <v/>
      </c>
      <c r="U2422" s="241"/>
      <c r="V2422" s="275" t="e">
        <f>IF(C2422="",NA(),MATCH($B2422&amp;$C2422,'Smelter Look-up'!$J:$J,0))</f>
        <v>#N/A</v>
      </c>
      <c r="W2422" s="276"/>
      <c r="X2422" s="276">
        <f t="shared" ca="1" si="340"/>
        <v>0</v>
      </c>
      <c r="Y2422" s="276"/>
      <c r="Z2422" s="276"/>
      <c r="AB2422" s="278" t="str">
        <f t="shared" si="341"/>
        <v/>
      </c>
    </row>
    <row r="2423" spans="1:28" s="277" customFormat="1" ht="20.25">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39"/>
        <v/>
      </c>
      <c r="T2423" s="225" t="str">
        <f ca="1">IF(B2423="","",IF(ISERROR(MATCH($J2423,SorP!$B$1:$B$6230,0)),"",INDIRECT("'SorP'!$A$"&amp;MATCH($J2423,SorP!$B$1:$B$6230,0))))</f>
        <v/>
      </c>
      <c r="U2423" s="241"/>
      <c r="V2423" s="275" t="e">
        <f>IF(C2423="",NA(),MATCH($B2423&amp;$C2423,'Smelter Look-up'!$J:$J,0))</f>
        <v>#N/A</v>
      </c>
      <c r="W2423" s="276"/>
      <c r="X2423" s="276">
        <f t="shared" ca="1" si="340"/>
        <v>0</v>
      </c>
      <c r="Y2423" s="276"/>
      <c r="Z2423" s="276"/>
      <c r="AB2423" s="278" t="str">
        <f t="shared" si="341"/>
        <v/>
      </c>
    </row>
    <row r="2424" spans="1:28" s="277" customFormat="1" ht="20.25">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39"/>
        <v/>
      </c>
      <c r="T2424" s="225" t="str">
        <f ca="1">IF(B2424="","",IF(ISERROR(MATCH($J2424,SorP!$B$1:$B$6230,0)),"",INDIRECT("'SorP'!$A$"&amp;MATCH($J2424,SorP!$B$1:$B$6230,0))))</f>
        <v/>
      </c>
      <c r="U2424" s="241"/>
      <c r="V2424" s="275" t="e">
        <f>IF(C2424="",NA(),MATCH($B2424&amp;$C2424,'Smelter Look-up'!$J:$J,0))</f>
        <v>#N/A</v>
      </c>
      <c r="W2424" s="276"/>
      <c r="X2424" s="276">
        <f t="shared" ca="1" si="340"/>
        <v>0</v>
      </c>
      <c r="Y2424" s="276"/>
      <c r="Z2424" s="276"/>
      <c r="AB2424" s="278" t="str">
        <f t="shared" si="341"/>
        <v/>
      </c>
    </row>
    <row r="2425" spans="1:28" s="277" customFormat="1" ht="20.25">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39"/>
        <v/>
      </c>
      <c r="T2425" s="225" t="str">
        <f ca="1">IF(B2425="","",IF(ISERROR(MATCH($J2425,SorP!$B$1:$B$6230,0)),"",INDIRECT("'SorP'!$A$"&amp;MATCH($J2425,SorP!$B$1:$B$6230,0))))</f>
        <v/>
      </c>
      <c r="U2425" s="241"/>
      <c r="V2425" s="275" t="e">
        <f>IF(C2425="",NA(),MATCH($B2425&amp;$C2425,'Smelter Look-up'!$J:$J,0))</f>
        <v>#N/A</v>
      </c>
      <c r="W2425" s="276"/>
      <c r="X2425" s="276">
        <f t="shared" ca="1" si="340"/>
        <v>0</v>
      </c>
      <c r="Y2425" s="276"/>
      <c r="Z2425" s="276"/>
      <c r="AB2425" s="278" t="str">
        <f t="shared" si="341"/>
        <v/>
      </c>
    </row>
    <row r="2426" spans="1:28" s="277" customFormat="1" ht="20.25">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339"/>
        <v/>
      </c>
      <c r="T2426" s="225" t="str">
        <f ca="1">IF(B2426="","",IF(ISERROR(MATCH($J2426,SorP!$B$1:$B$6230,0)),"",INDIRECT("'SorP'!$A$"&amp;MATCH($J2426,SorP!$B$1:$B$6230,0))))</f>
        <v/>
      </c>
      <c r="U2426" s="241"/>
      <c r="V2426" s="275" t="e">
        <f>IF(C2426="",NA(),MATCH($B2426&amp;$C2426,'Smelter Look-up'!$J:$J,0))</f>
        <v>#N/A</v>
      </c>
      <c r="W2426" s="276"/>
      <c r="X2426" s="276">
        <f t="shared" ca="1" si="340"/>
        <v>0</v>
      </c>
      <c r="Y2426" s="276"/>
      <c r="Z2426" s="276"/>
      <c r="AB2426" s="278" t="str">
        <f t="shared" si="341"/>
        <v/>
      </c>
    </row>
    <row r="2427" spans="1:28" s="277" customFormat="1" ht="20.25">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ref="S2427" ca="1" si="342">IF(B2427="","",IF(ISERROR(MATCH($E2427,CL,0)),"Unknown",INDIRECT("'C'!$A$"&amp;MATCH($E2427,CL,0)+1)))</f>
        <v/>
      </c>
      <c r="T2427" s="225" t="str">
        <f ca="1">IF(B2427="","",IF(ISERROR(MATCH($J2427,SorP!$B$1:$B$6230,0)),"",INDIRECT("'SorP'!$A$"&amp;MATCH($J2427,SorP!$B$1:$B$6230,0))))</f>
        <v/>
      </c>
      <c r="U2427" s="241"/>
      <c r="V2427" s="275" t="e">
        <f>IF(C2427="",NA(),MATCH($B2427&amp;$C2427,'Smelter Look-up'!$J:$J,0))</f>
        <v>#N/A</v>
      </c>
      <c r="W2427" s="276"/>
      <c r="X2427" s="276">
        <f t="shared" ref="X2427" ca="1" si="343">IF(AND(C2427="Smelter not listed",OR(LEN(D2427)=0,LEN(E2427)=0)),1,0)</f>
        <v>0</v>
      </c>
      <c r="Y2427" s="276"/>
      <c r="Z2427" s="276"/>
      <c r="AB2427" s="278" t="str">
        <f t="shared" ref="AB2427" si="344">B2427&amp;C2427</f>
        <v/>
      </c>
    </row>
    <row r="2428" spans="1:28" s="277" customFormat="1" ht="20.25">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ref="S2428:S2459" ca="1" si="345">IF(B2428="","",IF(ISERROR(MATCH($E2428,CL,0)),"Unknown",INDIRECT("'C'!$A$"&amp;MATCH($E2428,CL,0)+1)))</f>
        <v/>
      </c>
      <c r="T2428" s="225" t="str">
        <f ca="1">IF(B2428="","",IF(ISERROR(MATCH($J2428,SorP!$B$1:$B$6230,0)),"",INDIRECT("'SorP'!$A$"&amp;MATCH($J2428,SorP!$B$1:$B$6230,0))))</f>
        <v/>
      </c>
      <c r="U2428" s="241"/>
      <c r="V2428" s="275" t="e">
        <f>IF(C2428="",NA(),MATCH($B2428&amp;$C2428,'Smelter Look-up'!$J:$J,0))</f>
        <v>#N/A</v>
      </c>
      <c r="W2428" s="276"/>
      <c r="X2428" s="276">
        <f t="shared" ref="X2428:X2459" ca="1" si="346">IF(AND(C2428="Smelter not listed",OR(LEN(D2428)=0,LEN(E2428)=0)),1,0)</f>
        <v>0</v>
      </c>
      <c r="Y2428" s="276"/>
      <c r="Z2428" s="276"/>
      <c r="AB2428" s="278" t="str">
        <f t="shared" ref="AB2428:AB2459" si="347">B2428&amp;C2428</f>
        <v/>
      </c>
    </row>
    <row r="2429" spans="1:28" s="277" customFormat="1" ht="20.25">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345"/>
        <v/>
      </c>
      <c r="T2429" s="225" t="str">
        <f ca="1">IF(B2429="","",IF(ISERROR(MATCH($J2429,SorP!$B$1:$B$6230,0)),"",INDIRECT("'SorP'!$A$"&amp;MATCH($J2429,SorP!$B$1:$B$6230,0))))</f>
        <v/>
      </c>
      <c r="U2429" s="241"/>
      <c r="V2429" s="275" t="e">
        <f>IF(C2429="",NA(),MATCH($B2429&amp;$C2429,'Smelter Look-up'!$J:$J,0))</f>
        <v>#N/A</v>
      </c>
      <c r="W2429" s="276"/>
      <c r="X2429" s="276">
        <f t="shared" ca="1" si="346"/>
        <v>0</v>
      </c>
      <c r="Y2429" s="276"/>
      <c r="Z2429" s="276"/>
      <c r="AB2429" s="278" t="str">
        <f t="shared" si="347"/>
        <v/>
      </c>
    </row>
    <row r="2430" spans="1:28" s="277" customFormat="1" ht="20.25">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345"/>
        <v/>
      </c>
      <c r="T2430" s="225" t="str">
        <f ca="1">IF(B2430="","",IF(ISERROR(MATCH($J2430,SorP!$B$1:$B$6230,0)),"",INDIRECT("'SorP'!$A$"&amp;MATCH($J2430,SorP!$B$1:$B$6230,0))))</f>
        <v/>
      </c>
      <c r="U2430" s="241"/>
      <c r="V2430" s="275" t="e">
        <f>IF(C2430="",NA(),MATCH($B2430&amp;$C2430,'Smelter Look-up'!$J:$J,0))</f>
        <v>#N/A</v>
      </c>
      <c r="W2430" s="276"/>
      <c r="X2430" s="276">
        <f t="shared" ca="1" si="346"/>
        <v>0</v>
      </c>
      <c r="Y2430" s="276"/>
      <c r="Z2430" s="276"/>
      <c r="AB2430" s="278" t="str">
        <f t="shared" si="347"/>
        <v/>
      </c>
    </row>
    <row r="2431" spans="1:28" s="277" customFormat="1" ht="20.25">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345"/>
        <v/>
      </c>
      <c r="T2431" s="225" t="str">
        <f ca="1">IF(B2431="","",IF(ISERROR(MATCH($J2431,SorP!$B$1:$B$6230,0)),"",INDIRECT("'SorP'!$A$"&amp;MATCH($J2431,SorP!$B$1:$B$6230,0))))</f>
        <v/>
      </c>
      <c r="U2431" s="241"/>
      <c r="V2431" s="275" t="e">
        <f>IF(C2431="",NA(),MATCH($B2431&amp;$C2431,'Smelter Look-up'!$J:$J,0))</f>
        <v>#N/A</v>
      </c>
      <c r="W2431" s="276"/>
      <c r="X2431" s="276">
        <f t="shared" ca="1" si="346"/>
        <v>0</v>
      </c>
      <c r="Y2431" s="276"/>
      <c r="Z2431" s="276"/>
      <c r="AB2431" s="278" t="str">
        <f t="shared" si="347"/>
        <v/>
      </c>
    </row>
    <row r="2432" spans="1:28" s="277" customFormat="1" ht="20.25">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345"/>
        <v/>
      </c>
      <c r="T2432" s="225" t="str">
        <f ca="1">IF(B2432="","",IF(ISERROR(MATCH($J2432,SorP!$B$1:$B$6230,0)),"",INDIRECT("'SorP'!$A$"&amp;MATCH($J2432,SorP!$B$1:$B$6230,0))))</f>
        <v/>
      </c>
      <c r="U2432" s="241"/>
      <c r="V2432" s="275" t="e">
        <f>IF(C2432="",NA(),MATCH($B2432&amp;$C2432,'Smelter Look-up'!$J:$J,0))</f>
        <v>#N/A</v>
      </c>
      <c r="W2432" s="276"/>
      <c r="X2432" s="276">
        <f t="shared" ca="1" si="346"/>
        <v>0</v>
      </c>
      <c r="Y2432" s="276"/>
      <c r="Z2432" s="276"/>
      <c r="AB2432" s="278" t="str">
        <f t="shared" si="347"/>
        <v/>
      </c>
    </row>
    <row r="2433" spans="1:28" s="277" customFormat="1" ht="20.25">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345"/>
        <v/>
      </c>
      <c r="T2433" s="225" t="str">
        <f ca="1">IF(B2433="","",IF(ISERROR(MATCH($J2433,SorP!$B$1:$B$6230,0)),"",INDIRECT("'SorP'!$A$"&amp;MATCH($J2433,SorP!$B$1:$B$6230,0))))</f>
        <v/>
      </c>
      <c r="U2433" s="241"/>
      <c r="V2433" s="275" t="e">
        <f>IF(C2433="",NA(),MATCH($B2433&amp;$C2433,'Smelter Look-up'!$J:$J,0))</f>
        <v>#N/A</v>
      </c>
      <c r="W2433" s="276"/>
      <c r="X2433" s="276">
        <f t="shared" ca="1" si="346"/>
        <v>0</v>
      </c>
      <c r="Y2433" s="276"/>
      <c r="Z2433" s="276"/>
      <c r="AB2433" s="278" t="str">
        <f t="shared" si="347"/>
        <v/>
      </c>
    </row>
    <row r="2434" spans="1:28" s="277" customFormat="1" ht="20.25">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345"/>
        <v/>
      </c>
      <c r="T2434" s="225" t="str">
        <f ca="1">IF(B2434="","",IF(ISERROR(MATCH($J2434,SorP!$B$1:$B$6230,0)),"",INDIRECT("'SorP'!$A$"&amp;MATCH($J2434,SorP!$B$1:$B$6230,0))))</f>
        <v/>
      </c>
      <c r="U2434" s="241"/>
      <c r="V2434" s="275" t="e">
        <f>IF(C2434="",NA(),MATCH($B2434&amp;$C2434,'Smelter Look-up'!$J:$J,0))</f>
        <v>#N/A</v>
      </c>
      <c r="W2434" s="276"/>
      <c r="X2434" s="276">
        <f t="shared" ca="1" si="346"/>
        <v>0</v>
      </c>
      <c r="Y2434" s="276"/>
      <c r="Z2434" s="276"/>
      <c r="AB2434" s="278" t="str">
        <f t="shared" si="347"/>
        <v/>
      </c>
    </row>
    <row r="2435" spans="1:28" s="277" customFormat="1" ht="20.25">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345"/>
        <v/>
      </c>
      <c r="T2435" s="225" t="str">
        <f ca="1">IF(B2435="","",IF(ISERROR(MATCH($J2435,SorP!$B$1:$B$6230,0)),"",INDIRECT("'SorP'!$A$"&amp;MATCH($J2435,SorP!$B$1:$B$6230,0))))</f>
        <v/>
      </c>
      <c r="U2435" s="241"/>
      <c r="V2435" s="275" t="e">
        <f>IF(C2435="",NA(),MATCH($B2435&amp;$C2435,'Smelter Look-up'!$J:$J,0))</f>
        <v>#N/A</v>
      </c>
      <c r="W2435" s="276"/>
      <c r="X2435" s="276">
        <f t="shared" ca="1" si="346"/>
        <v>0</v>
      </c>
      <c r="Y2435" s="276"/>
      <c r="Z2435" s="276"/>
      <c r="AB2435" s="278" t="str">
        <f t="shared" si="347"/>
        <v/>
      </c>
    </row>
    <row r="2436" spans="1:28" s="277" customFormat="1" ht="20.25">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345"/>
        <v/>
      </c>
      <c r="T2436" s="225" t="str">
        <f ca="1">IF(B2436="","",IF(ISERROR(MATCH($J2436,SorP!$B$1:$B$6230,0)),"",INDIRECT("'SorP'!$A$"&amp;MATCH($J2436,SorP!$B$1:$B$6230,0))))</f>
        <v/>
      </c>
      <c r="U2436" s="241"/>
      <c r="V2436" s="275" t="e">
        <f>IF(C2436="",NA(),MATCH($B2436&amp;$C2436,'Smelter Look-up'!$J:$J,0))</f>
        <v>#N/A</v>
      </c>
      <c r="W2436" s="276"/>
      <c r="X2436" s="276">
        <f t="shared" ca="1" si="346"/>
        <v>0</v>
      </c>
      <c r="Y2436" s="276"/>
      <c r="Z2436" s="276"/>
      <c r="AB2436" s="278" t="str">
        <f t="shared" si="347"/>
        <v/>
      </c>
    </row>
    <row r="2437" spans="1:28" s="277" customFormat="1" ht="20.25">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345"/>
        <v/>
      </c>
      <c r="T2437" s="225" t="str">
        <f ca="1">IF(B2437="","",IF(ISERROR(MATCH($J2437,SorP!$B$1:$B$6230,0)),"",INDIRECT("'SorP'!$A$"&amp;MATCH($J2437,SorP!$B$1:$B$6230,0))))</f>
        <v/>
      </c>
      <c r="U2437" s="241"/>
      <c r="V2437" s="275" t="e">
        <f>IF(C2437="",NA(),MATCH($B2437&amp;$C2437,'Smelter Look-up'!$J:$J,0))</f>
        <v>#N/A</v>
      </c>
      <c r="W2437" s="276"/>
      <c r="X2437" s="276">
        <f t="shared" ca="1" si="346"/>
        <v>0</v>
      </c>
      <c r="Y2437" s="276"/>
      <c r="Z2437" s="276"/>
      <c r="AB2437" s="278" t="str">
        <f t="shared" si="347"/>
        <v/>
      </c>
    </row>
    <row r="2438" spans="1:28" s="277" customFormat="1" ht="20.25">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345"/>
        <v/>
      </c>
      <c r="T2438" s="225" t="str">
        <f ca="1">IF(B2438="","",IF(ISERROR(MATCH($J2438,SorP!$B$1:$B$6230,0)),"",INDIRECT("'SorP'!$A$"&amp;MATCH($J2438,SorP!$B$1:$B$6230,0))))</f>
        <v/>
      </c>
      <c r="U2438" s="241"/>
      <c r="V2438" s="275" t="e">
        <f>IF(C2438="",NA(),MATCH($B2438&amp;$C2438,'Smelter Look-up'!$J:$J,0))</f>
        <v>#N/A</v>
      </c>
      <c r="W2438" s="276"/>
      <c r="X2438" s="276">
        <f t="shared" ca="1" si="346"/>
        <v>0</v>
      </c>
      <c r="Y2438" s="276"/>
      <c r="Z2438" s="276"/>
      <c r="AB2438" s="278" t="str">
        <f t="shared" si="347"/>
        <v/>
      </c>
    </row>
    <row r="2439" spans="1:28" s="277" customFormat="1" ht="20.25">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345"/>
        <v/>
      </c>
      <c r="T2439" s="225" t="str">
        <f ca="1">IF(B2439="","",IF(ISERROR(MATCH($J2439,SorP!$B$1:$B$6230,0)),"",INDIRECT("'SorP'!$A$"&amp;MATCH($J2439,SorP!$B$1:$B$6230,0))))</f>
        <v/>
      </c>
      <c r="U2439" s="241"/>
      <c r="V2439" s="275" t="e">
        <f>IF(C2439="",NA(),MATCH($B2439&amp;$C2439,'Smelter Look-up'!$J:$J,0))</f>
        <v>#N/A</v>
      </c>
      <c r="W2439" s="276"/>
      <c r="X2439" s="276">
        <f t="shared" ca="1" si="346"/>
        <v>0</v>
      </c>
      <c r="Y2439" s="276"/>
      <c r="Z2439" s="276"/>
      <c r="AB2439" s="278" t="str">
        <f t="shared" si="347"/>
        <v/>
      </c>
    </row>
    <row r="2440" spans="1:28" s="277" customFormat="1" ht="20.25">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345"/>
        <v/>
      </c>
      <c r="T2440" s="225" t="str">
        <f ca="1">IF(B2440="","",IF(ISERROR(MATCH($J2440,SorP!$B$1:$B$6230,0)),"",INDIRECT("'SorP'!$A$"&amp;MATCH($J2440,SorP!$B$1:$B$6230,0))))</f>
        <v/>
      </c>
      <c r="U2440" s="241"/>
      <c r="V2440" s="275" t="e">
        <f>IF(C2440="",NA(),MATCH($B2440&amp;$C2440,'Smelter Look-up'!$J:$J,0))</f>
        <v>#N/A</v>
      </c>
      <c r="W2440" s="276"/>
      <c r="X2440" s="276">
        <f t="shared" ca="1" si="346"/>
        <v>0</v>
      </c>
      <c r="Y2440" s="276"/>
      <c r="Z2440" s="276"/>
      <c r="AB2440" s="278" t="str">
        <f t="shared" si="347"/>
        <v/>
      </c>
    </row>
    <row r="2441" spans="1:28" s="277" customFormat="1" ht="20.25">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345"/>
        <v/>
      </c>
      <c r="T2441" s="225" t="str">
        <f ca="1">IF(B2441="","",IF(ISERROR(MATCH($J2441,SorP!$B$1:$B$6230,0)),"",INDIRECT("'SorP'!$A$"&amp;MATCH($J2441,SorP!$B$1:$B$6230,0))))</f>
        <v/>
      </c>
      <c r="U2441" s="241"/>
      <c r="V2441" s="275" t="e">
        <f>IF(C2441="",NA(),MATCH($B2441&amp;$C2441,'Smelter Look-up'!$J:$J,0))</f>
        <v>#N/A</v>
      </c>
      <c r="W2441" s="276"/>
      <c r="X2441" s="276">
        <f t="shared" ca="1" si="346"/>
        <v>0</v>
      </c>
      <c r="Y2441" s="276"/>
      <c r="Z2441" s="276"/>
      <c r="AB2441" s="278" t="str">
        <f t="shared" si="347"/>
        <v/>
      </c>
    </row>
    <row r="2442" spans="1:28" s="277" customFormat="1" ht="20.25">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345"/>
        <v/>
      </c>
      <c r="T2442" s="225" t="str">
        <f ca="1">IF(B2442="","",IF(ISERROR(MATCH($J2442,SorP!$B$1:$B$6230,0)),"",INDIRECT("'SorP'!$A$"&amp;MATCH($J2442,SorP!$B$1:$B$6230,0))))</f>
        <v/>
      </c>
      <c r="U2442" s="241"/>
      <c r="V2442" s="275" t="e">
        <f>IF(C2442="",NA(),MATCH($B2442&amp;$C2442,'Smelter Look-up'!$J:$J,0))</f>
        <v>#N/A</v>
      </c>
      <c r="W2442" s="276"/>
      <c r="X2442" s="276">
        <f t="shared" ca="1" si="346"/>
        <v>0</v>
      </c>
      <c r="Y2442" s="276"/>
      <c r="Z2442" s="276"/>
      <c r="AB2442" s="278" t="str">
        <f t="shared" si="347"/>
        <v/>
      </c>
    </row>
    <row r="2443" spans="1:28" s="277" customFormat="1" ht="20.25">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345"/>
        <v/>
      </c>
      <c r="T2443" s="225" t="str">
        <f ca="1">IF(B2443="","",IF(ISERROR(MATCH($J2443,SorP!$B$1:$B$6230,0)),"",INDIRECT("'SorP'!$A$"&amp;MATCH($J2443,SorP!$B$1:$B$6230,0))))</f>
        <v/>
      </c>
      <c r="U2443" s="241"/>
      <c r="V2443" s="275" t="e">
        <f>IF(C2443="",NA(),MATCH($B2443&amp;$C2443,'Smelter Look-up'!$J:$J,0))</f>
        <v>#N/A</v>
      </c>
      <c r="W2443" s="276"/>
      <c r="X2443" s="276">
        <f t="shared" ca="1" si="346"/>
        <v>0</v>
      </c>
      <c r="Y2443" s="276"/>
      <c r="Z2443" s="276"/>
      <c r="AB2443" s="278" t="str">
        <f t="shared" si="347"/>
        <v/>
      </c>
    </row>
    <row r="2444" spans="1:28" s="277" customFormat="1" ht="20.25">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345"/>
        <v/>
      </c>
      <c r="T2444" s="225" t="str">
        <f ca="1">IF(B2444="","",IF(ISERROR(MATCH($J2444,SorP!$B$1:$B$6230,0)),"",INDIRECT("'SorP'!$A$"&amp;MATCH($J2444,SorP!$B$1:$B$6230,0))))</f>
        <v/>
      </c>
      <c r="U2444" s="241"/>
      <c r="V2444" s="275" t="e">
        <f>IF(C2444="",NA(),MATCH($B2444&amp;$C2444,'Smelter Look-up'!$J:$J,0))</f>
        <v>#N/A</v>
      </c>
      <c r="W2444" s="276"/>
      <c r="X2444" s="276">
        <f t="shared" ca="1" si="346"/>
        <v>0</v>
      </c>
      <c r="Y2444" s="276"/>
      <c r="Z2444" s="276"/>
      <c r="AB2444" s="278" t="str">
        <f t="shared" si="347"/>
        <v/>
      </c>
    </row>
    <row r="2445" spans="1:28" s="277" customFormat="1" ht="20.25">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345"/>
        <v/>
      </c>
      <c r="T2445" s="225" t="str">
        <f ca="1">IF(B2445="","",IF(ISERROR(MATCH($J2445,SorP!$B$1:$B$6230,0)),"",INDIRECT("'SorP'!$A$"&amp;MATCH($J2445,SorP!$B$1:$B$6230,0))))</f>
        <v/>
      </c>
      <c r="U2445" s="241"/>
      <c r="V2445" s="275" t="e">
        <f>IF(C2445="",NA(),MATCH($B2445&amp;$C2445,'Smelter Look-up'!$J:$J,0))</f>
        <v>#N/A</v>
      </c>
      <c r="W2445" s="276"/>
      <c r="X2445" s="276">
        <f t="shared" ca="1" si="346"/>
        <v>0</v>
      </c>
      <c r="Y2445" s="276"/>
      <c r="Z2445" s="276"/>
      <c r="AB2445" s="278" t="str">
        <f t="shared" si="347"/>
        <v/>
      </c>
    </row>
    <row r="2446" spans="1:28" s="277" customFormat="1" ht="20.25">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345"/>
        <v/>
      </c>
      <c r="T2446" s="225" t="str">
        <f ca="1">IF(B2446="","",IF(ISERROR(MATCH($J2446,SorP!$B$1:$B$6230,0)),"",INDIRECT("'SorP'!$A$"&amp;MATCH($J2446,SorP!$B$1:$B$6230,0))))</f>
        <v/>
      </c>
      <c r="U2446" s="241"/>
      <c r="V2446" s="275" t="e">
        <f>IF(C2446="",NA(),MATCH($B2446&amp;$C2446,'Smelter Look-up'!$J:$J,0))</f>
        <v>#N/A</v>
      </c>
      <c r="W2446" s="276"/>
      <c r="X2446" s="276">
        <f t="shared" ca="1" si="346"/>
        <v>0</v>
      </c>
      <c r="Y2446" s="276"/>
      <c r="Z2446" s="276"/>
      <c r="AB2446" s="278" t="str">
        <f t="shared" si="347"/>
        <v/>
      </c>
    </row>
    <row r="2447" spans="1:28" s="277" customFormat="1" ht="20.25">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345"/>
        <v/>
      </c>
      <c r="T2447" s="225" t="str">
        <f ca="1">IF(B2447="","",IF(ISERROR(MATCH($J2447,SorP!$B$1:$B$6230,0)),"",INDIRECT("'SorP'!$A$"&amp;MATCH($J2447,SorP!$B$1:$B$6230,0))))</f>
        <v/>
      </c>
      <c r="U2447" s="241"/>
      <c r="V2447" s="275" t="e">
        <f>IF(C2447="",NA(),MATCH($B2447&amp;$C2447,'Smelter Look-up'!$J:$J,0))</f>
        <v>#N/A</v>
      </c>
      <c r="W2447" s="276"/>
      <c r="X2447" s="276">
        <f t="shared" ca="1" si="346"/>
        <v>0</v>
      </c>
      <c r="Y2447" s="276"/>
      <c r="Z2447" s="276"/>
      <c r="AB2447" s="278" t="str">
        <f t="shared" si="347"/>
        <v/>
      </c>
    </row>
    <row r="2448" spans="1:28" s="277" customFormat="1" ht="20.25">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345"/>
        <v/>
      </c>
      <c r="T2448" s="225" t="str">
        <f ca="1">IF(B2448="","",IF(ISERROR(MATCH($J2448,SorP!$B$1:$B$6230,0)),"",INDIRECT("'SorP'!$A$"&amp;MATCH($J2448,SorP!$B$1:$B$6230,0))))</f>
        <v/>
      </c>
      <c r="U2448" s="241"/>
      <c r="V2448" s="275" t="e">
        <f>IF(C2448="",NA(),MATCH($B2448&amp;$C2448,'Smelter Look-up'!$J:$J,0))</f>
        <v>#N/A</v>
      </c>
      <c r="W2448" s="276"/>
      <c r="X2448" s="276">
        <f t="shared" ca="1" si="346"/>
        <v>0</v>
      </c>
      <c r="Y2448" s="276"/>
      <c r="Z2448" s="276"/>
      <c r="AB2448" s="278" t="str">
        <f t="shared" si="347"/>
        <v/>
      </c>
    </row>
    <row r="2449" spans="1:28" s="277" customFormat="1" ht="20.25">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345"/>
        <v/>
      </c>
      <c r="T2449" s="225" t="str">
        <f ca="1">IF(B2449="","",IF(ISERROR(MATCH($J2449,SorP!$B$1:$B$6230,0)),"",INDIRECT("'SorP'!$A$"&amp;MATCH($J2449,SorP!$B$1:$B$6230,0))))</f>
        <v/>
      </c>
      <c r="U2449" s="241"/>
      <c r="V2449" s="275" t="e">
        <f>IF(C2449="",NA(),MATCH($B2449&amp;$C2449,'Smelter Look-up'!$J:$J,0))</f>
        <v>#N/A</v>
      </c>
      <c r="W2449" s="276"/>
      <c r="X2449" s="276">
        <f t="shared" ca="1" si="346"/>
        <v>0</v>
      </c>
      <c r="Y2449" s="276"/>
      <c r="Z2449" s="276"/>
      <c r="AB2449" s="278" t="str">
        <f t="shared" si="347"/>
        <v/>
      </c>
    </row>
    <row r="2450" spans="1:28" s="277" customFormat="1" ht="20.25">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ca="1" si="345"/>
        <v/>
      </c>
      <c r="T2450" s="225" t="str">
        <f ca="1">IF(B2450="","",IF(ISERROR(MATCH($J2450,SorP!$B$1:$B$6230,0)),"",INDIRECT("'SorP'!$A$"&amp;MATCH($J2450,SorP!$B$1:$B$6230,0))))</f>
        <v/>
      </c>
      <c r="U2450" s="241"/>
      <c r="V2450" s="275" t="e">
        <f>IF(C2450="",NA(),MATCH($B2450&amp;$C2450,'Smelter Look-up'!$J:$J,0))</f>
        <v>#N/A</v>
      </c>
      <c r="W2450" s="276"/>
      <c r="X2450" s="276">
        <f t="shared" ca="1" si="346"/>
        <v>0</v>
      </c>
      <c r="Y2450" s="276"/>
      <c r="Z2450" s="276"/>
      <c r="AB2450" s="278" t="str">
        <f t="shared" si="347"/>
        <v/>
      </c>
    </row>
    <row r="2451" spans="1:28" s="277" customFormat="1" ht="20.25">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345"/>
        <v/>
      </c>
      <c r="T2451" s="225" t="str">
        <f ca="1">IF(B2451="","",IF(ISERROR(MATCH($J2451,SorP!$B$1:$B$6230,0)),"",INDIRECT("'SorP'!$A$"&amp;MATCH($J2451,SorP!$B$1:$B$6230,0))))</f>
        <v/>
      </c>
      <c r="U2451" s="241"/>
      <c r="V2451" s="275" t="e">
        <f>IF(C2451="",NA(),MATCH($B2451&amp;$C2451,'Smelter Look-up'!$J:$J,0))</f>
        <v>#N/A</v>
      </c>
      <c r="W2451" s="276"/>
      <c r="X2451" s="276">
        <f t="shared" ca="1" si="346"/>
        <v>0</v>
      </c>
      <c r="Y2451" s="276"/>
      <c r="Z2451" s="276"/>
      <c r="AB2451" s="278" t="str">
        <f t="shared" si="347"/>
        <v/>
      </c>
    </row>
    <row r="2452" spans="1:28" s="277" customFormat="1" ht="20.25">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345"/>
        <v/>
      </c>
      <c r="T2452" s="225" t="str">
        <f ca="1">IF(B2452="","",IF(ISERROR(MATCH($J2452,SorP!$B$1:$B$6230,0)),"",INDIRECT("'SorP'!$A$"&amp;MATCH($J2452,SorP!$B$1:$B$6230,0))))</f>
        <v/>
      </c>
      <c r="U2452" s="241"/>
      <c r="V2452" s="275" t="e">
        <f>IF(C2452="",NA(),MATCH($B2452&amp;$C2452,'Smelter Look-up'!$J:$J,0))</f>
        <v>#N/A</v>
      </c>
      <c r="W2452" s="276"/>
      <c r="X2452" s="276">
        <f t="shared" ca="1" si="346"/>
        <v>0</v>
      </c>
      <c r="Y2452" s="276"/>
      <c r="Z2452" s="276"/>
      <c r="AB2452" s="278" t="str">
        <f t="shared" si="347"/>
        <v/>
      </c>
    </row>
    <row r="2453" spans="1:28" s="277" customFormat="1" ht="20.25">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345"/>
        <v/>
      </c>
      <c r="T2453" s="225" t="str">
        <f ca="1">IF(B2453="","",IF(ISERROR(MATCH($J2453,SorP!$B$1:$B$6230,0)),"",INDIRECT("'SorP'!$A$"&amp;MATCH($J2453,SorP!$B$1:$B$6230,0))))</f>
        <v/>
      </c>
      <c r="U2453" s="241"/>
      <c r="V2453" s="275" t="e">
        <f>IF(C2453="",NA(),MATCH($B2453&amp;$C2453,'Smelter Look-up'!$J:$J,0))</f>
        <v>#N/A</v>
      </c>
      <c r="W2453" s="276"/>
      <c r="X2453" s="276">
        <f t="shared" ca="1" si="346"/>
        <v>0</v>
      </c>
      <c r="Y2453" s="276"/>
      <c r="Z2453" s="276"/>
      <c r="AB2453" s="278" t="str">
        <f t="shared" si="347"/>
        <v/>
      </c>
    </row>
    <row r="2454" spans="1:28" s="277" customFormat="1" ht="20.25">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345"/>
        <v/>
      </c>
      <c r="T2454" s="225" t="str">
        <f ca="1">IF(B2454="","",IF(ISERROR(MATCH($J2454,SorP!$B$1:$B$6230,0)),"",INDIRECT("'SorP'!$A$"&amp;MATCH($J2454,SorP!$B$1:$B$6230,0))))</f>
        <v/>
      </c>
      <c r="U2454" s="241"/>
      <c r="V2454" s="275" t="e">
        <f>IF(C2454="",NA(),MATCH($B2454&amp;$C2454,'Smelter Look-up'!$J:$J,0))</f>
        <v>#N/A</v>
      </c>
      <c r="W2454" s="276"/>
      <c r="X2454" s="276">
        <f t="shared" ca="1" si="346"/>
        <v>0</v>
      </c>
      <c r="Y2454" s="276"/>
      <c r="Z2454" s="276"/>
      <c r="AB2454" s="278" t="str">
        <f t="shared" si="347"/>
        <v/>
      </c>
    </row>
    <row r="2455" spans="1:28" s="277" customFormat="1" ht="20.25">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345"/>
        <v/>
      </c>
      <c r="T2455" s="225" t="str">
        <f ca="1">IF(B2455="","",IF(ISERROR(MATCH($J2455,SorP!$B$1:$B$6230,0)),"",INDIRECT("'SorP'!$A$"&amp;MATCH($J2455,SorP!$B$1:$B$6230,0))))</f>
        <v/>
      </c>
      <c r="U2455" s="241"/>
      <c r="V2455" s="275" t="e">
        <f>IF(C2455="",NA(),MATCH($B2455&amp;$C2455,'Smelter Look-up'!$J:$J,0))</f>
        <v>#N/A</v>
      </c>
      <c r="W2455" s="276"/>
      <c r="X2455" s="276">
        <f t="shared" ca="1" si="346"/>
        <v>0</v>
      </c>
      <c r="Y2455" s="276"/>
      <c r="Z2455" s="276"/>
      <c r="AB2455" s="278" t="str">
        <f t="shared" si="347"/>
        <v/>
      </c>
    </row>
    <row r="2456" spans="1:28" s="277" customFormat="1" ht="20.25">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345"/>
        <v/>
      </c>
      <c r="T2456" s="225" t="str">
        <f ca="1">IF(B2456="","",IF(ISERROR(MATCH($J2456,SorP!$B$1:$B$6230,0)),"",INDIRECT("'SorP'!$A$"&amp;MATCH($J2456,SorP!$B$1:$B$6230,0))))</f>
        <v/>
      </c>
      <c r="U2456" s="241"/>
      <c r="V2456" s="275" t="e">
        <f>IF(C2456="",NA(),MATCH($B2456&amp;$C2456,'Smelter Look-up'!$J:$J,0))</f>
        <v>#N/A</v>
      </c>
      <c r="W2456" s="276"/>
      <c r="X2456" s="276">
        <f t="shared" ca="1" si="346"/>
        <v>0</v>
      </c>
      <c r="Y2456" s="276"/>
      <c r="Z2456" s="276"/>
      <c r="AB2456" s="278" t="str">
        <f t="shared" si="347"/>
        <v/>
      </c>
    </row>
    <row r="2457" spans="1:28" s="277" customFormat="1" ht="20.25">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345"/>
        <v/>
      </c>
      <c r="T2457" s="225" t="str">
        <f ca="1">IF(B2457="","",IF(ISERROR(MATCH($J2457,SorP!$B$1:$B$6230,0)),"",INDIRECT("'SorP'!$A$"&amp;MATCH($J2457,SorP!$B$1:$B$6230,0))))</f>
        <v/>
      </c>
      <c r="U2457" s="241"/>
      <c r="V2457" s="275" t="e">
        <f>IF(C2457="",NA(),MATCH($B2457&amp;$C2457,'Smelter Look-up'!$J:$J,0))</f>
        <v>#N/A</v>
      </c>
      <c r="W2457" s="276"/>
      <c r="X2457" s="276">
        <f t="shared" ca="1" si="346"/>
        <v>0</v>
      </c>
      <c r="Y2457" s="276"/>
      <c r="Z2457" s="276"/>
      <c r="AB2457" s="278" t="str">
        <f t="shared" si="347"/>
        <v/>
      </c>
    </row>
    <row r="2458" spans="1:28" s="277" customFormat="1" ht="20.25">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345"/>
        <v/>
      </c>
      <c r="T2458" s="225" t="str">
        <f ca="1">IF(B2458="","",IF(ISERROR(MATCH($J2458,SorP!$B$1:$B$6230,0)),"",INDIRECT("'SorP'!$A$"&amp;MATCH($J2458,SorP!$B$1:$B$6230,0))))</f>
        <v/>
      </c>
      <c r="U2458" s="241"/>
      <c r="V2458" s="275" t="e">
        <f>IF(C2458="",NA(),MATCH($B2458&amp;$C2458,'Smelter Look-up'!$J:$J,0))</f>
        <v>#N/A</v>
      </c>
      <c r="W2458" s="276"/>
      <c r="X2458" s="276">
        <f t="shared" ca="1" si="346"/>
        <v>0</v>
      </c>
      <c r="Y2458" s="276"/>
      <c r="Z2458" s="276"/>
      <c r="AB2458" s="278" t="str">
        <f t="shared" si="347"/>
        <v/>
      </c>
    </row>
    <row r="2459" spans="1:28" s="277" customFormat="1" ht="20.25">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ca="1" si="345"/>
        <v/>
      </c>
      <c r="T2459" s="225" t="str">
        <f ca="1">IF(B2459="","",IF(ISERROR(MATCH($J2459,SorP!$B$1:$B$6230,0)),"",INDIRECT("'SorP'!$A$"&amp;MATCH($J2459,SorP!$B$1:$B$6230,0))))</f>
        <v/>
      </c>
      <c r="U2459" s="241"/>
      <c r="V2459" s="275" t="e">
        <f>IF(C2459="",NA(),MATCH($B2459&amp;$C2459,'Smelter Look-up'!$J:$J,0))</f>
        <v>#N/A</v>
      </c>
      <c r="W2459" s="276"/>
      <c r="X2459" s="276">
        <f t="shared" ca="1" si="346"/>
        <v>0</v>
      </c>
      <c r="Y2459" s="276"/>
      <c r="Z2459" s="276"/>
      <c r="AB2459" s="278" t="str">
        <f t="shared" si="347"/>
        <v/>
      </c>
    </row>
    <row r="2460" spans="1:28" s="277" customFormat="1" ht="20.25">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ref="S2460:S2490" ca="1" si="348">IF(B2460="","",IF(ISERROR(MATCH($E2460,CL,0)),"Unknown",INDIRECT("'C'!$A$"&amp;MATCH($E2460,CL,0)+1)))</f>
        <v/>
      </c>
      <c r="T2460" s="225" t="str">
        <f ca="1">IF(B2460="","",IF(ISERROR(MATCH($J2460,SorP!$B$1:$B$6230,0)),"",INDIRECT("'SorP'!$A$"&amp;MATCH($J2460,SorP!$B$1:$B$6230,0))))</f>
        <v/>
      </c>
      <c r="U2460" s="241"/>
      <c r="V2460" s="275" t="e">
        <f>IF(C2460="",NA(),MATCH($B2460&amp;$C2460,'Smelter Look-up'!$J:$J,0))</f>
        <v>#N/A</v>
      </c>
      <c r="W2460" s="276"/>
      <c r="X2460" s="276">
        <f t="shared" ref="X2460:X2492" ca="1" si="349">IF(AND(C2460="Smelter not listed",OR(LEN(D2460)=0,LEN(E2460)=0)),1,0)</f>
        <v>0</v>
      </c>
      <c r="Y2460" s="276"/>
      <c r="Z2460" s="276"/>
      <c r="AB2460" s="278" t="str">
        <f t="shared" ref="AB2460:AB2490" si="350">B2460&amp;C2460</f>
        <v/>
      </c>
    </row>
    <row r="2461" spans="1:28" s="277" customFormat="1" ht="20.25">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348"/>
        <v/>
      </c>
      <c r="T2461" s="225" t="str">
        <f ca="1">IF(B2461="","",IF(ISERROR(MATCH($J2461,SorP!$B$1:$B$6230,0)),"",INDIRECT("'SorP'!$A$"&amp;MATCH($J2461,SorP!$B$1:$B$6230,0))))</f>
        <v/>
      </c>
      <c r="U2461" s="241"/>
      <c r="V2461" s="275" t="e">
        <f>IF(C2461="",NA(),MATCH($B2461&amp;$C2461,'Smelter Look-up'!$J:$J,0))</f>
        <v>#N/A</v>
      </c>
      <c r="W2461" s="276"/>
      <c r="X2461" s="276">
        <f t="shared" ca="1" si="349"/>
        <v>0</v>
      </c>
      <c r="Y2461" s="276"/>
      <c r="Z2461" s="276"/>
      <c r="AB2461" s="278" t="str">
        <f t="shared" si="350"/>
        <v/>
      </c>
    </row>
    <row r="2462" spans="1:28" s="277" customFormat="1" ht="20.25">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348"/>
        <v/>
      </c>
      <c r="T2462" s="225" t="str">
        <f ca="1">IF(B2462="","",IF(ISERROR(MATCH($J2462,SorP!$B$1:$B$6230,0)),"",INDIRECT("'SorP'!$A$"&amp;MATCH($J2462,SorP!$B$1:$B$6230,0))))</f>
        <v/>
      </c>
      <c r="U2462" s="241"/>
      <c r="V2462" s="275" t="e">
        <f>IF(C2462="",NA(),MATCH($B2462&amp;$C2462,'Smelter Look-up'!$J:$J,0))</f>
        <v>#N/A</v>
      </c>
      <c r="W2462" s="276"/>
      <c r="X2462" s="276">
        <f t="shared" ca="1" si="349"/>
        <v>0</v>
      </c>
      <c r="Y2462" s="276"/>
      <c r="Z2462" s="276"/>
      <c r="AB2462" s="278" t="str">
        <f t="shared" si="350"/>
        <v/>
      </c>
    </row>
    <row r="2463" spans="1:28" s="277" customFormat="1" ht="20.25">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348"/>
        <v/>
      </c>
      <c r="T2463" s="225" t="str">
        <f ca="1">IF(B2463="","",IF(ISERROR(MATCH($J2463,SorP!$B$1:$B$6230,0)),"",INDIRECT("'SorP'!$A$"&amp;MATCH($J2463,SorP!$B$1:$B$6230,0))))</f>
        <v/>
      </c>
      <c r="U2463" s="241"/>
      <c r="V2463" s="275" t="e">
        <f>IF(C2463="",NA(),MATCH($B2463&amp;$C2463,'Smelter Look-up'!$J:$J,0))</f>
        <v>#N/A</v>
      </c>
      <c r="W2463" s="276"/>
      <c r="X2463" s="276">
        <f t="shared" ca="1" si="349"/>
        <v>0</v>
      </c>
      <c r="Y2463" s="276"/>
      <c r="Z2463" s="276"/>
      <c r="AB2463" s="278" t="str">
        <f t="shared" si="350"/>
        <v/>
      </c>
    </row>
    <row r="2464" spans="1:28" s="277" customFormat="1" ht="20.25">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348"/>
        <v/>
      </c>
      <c r="T2464" s="225" t="str">
        <f ca="1">IF(B2464="","",IF(ISERROR(MATCH($J2464,SorP!$B$1:$B$6230,0)),"",INDIRECT("'SorP'!$A$"&amp;MATCH($J2464,SorP!$B$1:$B$6230,0))))</f>
        <v/>
      </c>
      <c r="U2464" s="241"/>
      <c r="V2464" s="275" t="e">
        <f>IF(C2464="",NA(),MATCH($B2464&amp;$C2464,'Smelter Look-up'!$J:$J,0))</f>
        <v>#N/A</v>
      </c>
      <c r="W2464" s="276"/>
      <c r="X2464" s="276">
        <f t="shared" ca="1" si="349"/>
        <v>0</v>
      </c>
      <c r="Y2464" s="276"/>
      <c r="Z2464" s="276"/>
      <c r="AB2464" s="278" t="str">
        <f t="shared" si="350"/>
        <v/>
      </c>
    </row>
    <row r="2465" spans="1:28" s="277" customFormat="1" ht="20.25">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348"/>
        <v/>
      </c>
      <c r="T2465" s="225" t="str">
        <f ca="1">IF(B2465="","",IF(ISERROR(MATCH($J2465,SorP!$B$1:$B$6230,0)),"",INDIRECT("'SorP'!$A$"&amp;MATCH($J2465,SorP!$B$1:$B$6230,0))))</f>
        <v/>
      </c>
      <c r="U2465" s="241"/>
      <c r="V2465" s="275" t="e">
        <f>IF(C2465="",NA(),MATCH($B2465&amp;$C2465,'Smelter Look-up'!$J:$J,0))</f>
        <v>#N/A</v>
      </c>
      <c r="W2465" s="276"/>
      <c r="X2465" s="276">
        <f t="shared" ca="1" si="349"/>
        <v>0</v>
      </c>
      <c r="Y2465" s="276"/>
      <c r="Z2465" s="276"/>
      <c r="AB2465" s="278" t="str">
        <f t="shared" si="350"/>
        <v/>
      </c>
    </row>
    <row r="2466" spans="1:28" s="277" customFormat="1" ht="20.25">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348"/>
        <v/>
      </c>
      <c r="T2466" s="225" t="str">
        <f ca="1">IF(B2466="","",IF(ISERROR(MATCH($J2466,SorP!$B$1:$B$6230,0)),"",INDIRECT("'SorP'!$A$"&amp;MATCH($J2466,SorP!$B$1:$B$6230,0))))</f>
        <v/>
      </c>
      <c r="U2466" s="241"/>
      <c r="V2466" s="275" t="e">
        <f>IF(C2466="",NA(),MATCH($B2466&amp;$C2466,'Smelter Look-up'!$J:$J,0))</f>
        <v>#N/A</v>
      </c>
      <c r="W2466" s="276"/>
      <c r="X2466" s="276">
        <f t="shared" ca="1" si="349"/>
        <v>0</v>
      </c>
      <c r="Y2466" s="276"/>
      <c r="Z2466" s="276"/>
      <c r="AB2466" s="278" t="str">
        <f t="shared" si="350"/>
        <v/>
      </c>
    </row>
    <row r="2467" spans="1:28" s="277" customFormat="1" ht="20.25">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348"/>
        <v/>
      </c>
      <c r="T2467" s="225" t="str">
        <f ca="1">IF(B2467="","",IF(ISERROR(MATCH($J2467,SorP!$B$1:$B$6230,0)),"",INDIRECT("'SorP'!$A$"&amp;MATCH($J2467,SorP!$B$1:$B$6230,0))))</f>
        <v/>
      </c>
      <c r="U2467" s="241"/>
      <c r="V2467" s="275" t="e">
        <f>IF(C2467="",NA(),MATCH($B2467&amp;$C2467,'Smelter Look-up'!$J:$J,0))</f>
        <v>#N/A</v>
      </c>
      <c r="W2467" s="276"/>
      <c r="X2467" s="276">
        <f t="shared" ca="1" si="349"/>
        <v>0</v>
      </c>
      <c r="Y2467" s="276"/>
      <c r="Z2467" s="276"/>
      <c r="AB2467" s="278" t="str">
        <f t="shared" si="350"/>
        <v/>
      </c>
    </row>
    <row r="2468" spans="1:28" s="277" customFormat="1" ht="20.25">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348"/>
        <v/>
      </c>
      <c r="T2468" s="225" t="str">
        <f ca="1">IF(B2468="","",IF(ISERROR(MATCH($J2468,SorP!$B$1:$B$6230,0)),"",INDIRECT("'SorP'!$A$"&amp;MATCH($J2468,SorP!$B$1:$B$6230,0))))</f>
        <v/>
      </c>
      <c r="U2468" s="241"/>
      <c r="V2468" s="275" t="e">
        <f>IF(C2468="",NA(),MATCH($B2468&amp;$C2468,'Smelter Look-up'!$J:$J,0))</f>
        <v>#N/A</v>
      </c>
      <c r="W2468" s="276"/>
      <c r="X2468" s="276">
        <f t="shared" ca="1" si="349"/>
        <v>0</v>
      </c>
      <c r="Y2468" s="276"/>
      <c r="Z2468" s="276"/>
      <c r="AB2468" s="278" t="str">
        <f t="shared" si="350"/>
        <v/>
      </c>
    </row>
    <row r="2469" spans="1:28" s="277" customFormat="1" ht="20.25">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348"/>
        <v/>
      </c>
      <c r="T2469" s="225" t="str">
        <f ca="1">IF(B2469="","",IF(ISERROR(MATCH($J2469,SorP!$B$1:$B$6230,0)),"",INDIRECT("'SorP'!$A$"&amp;MATCH($J2469,SorP!$B$1:$B$6230,0))))</f>
        <v/>
      </c>
      <c r="U2469" s="241"/>
      <c r="V2469" s="275" t="e">
        <f>IF(C2469="",NA(),MATCH($B2469&amp;$C2469,'Smelter Look-up'!$J:$J,0))</f>
        <v>#N/A</v>
      </c>
      <c r="W2469" s="276"/>
      <c r="X2469" s="276">
        <f t="shared" ca="1" si="349"/>
        <v>0</v>
      </c>
      <c r="Y2469" s="276"/>
      <c r="Z2469" s="276"/>
      <c r="AB2469" s="278" t="str">
        <f t="shared" si="350"/>
        <v/>
      </c>
    </row>
    <row r="2470" spans="1:28" s="277" customFormat="1" ht="20.25">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348"/>
        <v/>
      </c>
      <c r="T2470" s="225" t="str">
        <f ca="1">IF(B2470="","",IF(ISERROR(MATCH($J2470,SorP!$B$1:$B$6230,0)),"",INDIRECT("'SorP'!$A$"&amp;MATCH($J2470,SorP!$B$1:$B$6230,0))))</f>
        <v/>
      </c>
      <c r="U2470" s="241"/>
      <c r="V2470" s="275" t="e">
        <f>IF(C2470="",NA(),MATCH($B2470&amp;$C2470,'Smelter Look-up'!$J:$J,0))</f>
        <v>#N/A</v>
      </c>
      <c r="W2470" s="276"/>
      <c r="X2470" s="276">
        <f t="shared" ca="1" si="349"/>
        <v>0</v>
      </c>
      <c r="Y2470" s="276"/>
      <c r="Z2470" s="276"/>
      <c r="AB2470" s="278" t="str">
        <f t="shared" si="350"/>
        <v/>
      </c>
    </row>
    <row r="2471" spans="1:28" s="277" customFormat="1" ht="20.25">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348"/>
        <v/>
      </c>
      <c r="T2471" s="225" t="str">
        <f ca="1">IF(B2471="","",IF(ISERROR(MATCH($J2471,SorP!$B$1:$B$6230,0)),"",INDIRECT("'SorP'!$A$"&amp;MATCH($J2471,SorP!$B$1:$B$6230,0))))</f>
        <v/>
      </c>
      <c r="U2471" s="241"/>
      <c r="V2471" s="275" t="e">
        <f>IF(C2471="",NA(),MATCH($B2471&amp;$C2471,'Smelter Look-up'!$J:$J,0))</f>
        <v>#N/A</v>
      </c>
      <c r="W2471" s="276"/>
      <c r="X2471" s="276">
        <f t="shared" ca="1" si="349"/>
        <v>0</v>
      </c>
      <c r="Y2471" s="276"/>
      <c r="Z2471" s="276"/>
      <c r="AB2471" s="278" t="str">
        <f t="shared" si="350"/>
        <v/>
      </c>
    </row>
    <row r="2472" spans="1:28" s="277" customFormat="1" ht="20.25">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348"/>
        <v/>
      </c>
      <c r="T2472" s="225" t="str">
        <f ca="1">IF(B2472="","",IF(ISERROR(MATCH($J2472,SorP!$B$1:$B$6230,0)),"",INDIRECT("'SorP'!$A$"&amp;MATCH($J2472,SorP!$B$1:$B$6230,0))))</f>
        <v/>
      </c>
      <c r="U2472" s="241"/>
      <c r="V2472" s="275" t="e">
        <f>IF(C2472="",NA(),MATCH($B2472&amp;$C2472,'Smelter Look-up'!$J:$J,0))</f>
        <v>#N/A</v>
      </c>
      <c r="W2472" s="276"/>
      <c r="X2472" s="276">
        <f t="shared" ca="1" si="349"/>
        <v>0</v>
      </c>
      <c r="Y2472" s="276"/>
      <c r="Z2472" s="276"/>
      <c r="AB2472" s="278" t="str">
        <f t="shared" si="350"/>
        <v/>
      </c>
    </row>
    <row r="2473" spans="1:28" s="277" customFormat="1" ht="20.25">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348"/>
        <v/>
      </c>
      <c r="T2473" s="225" t="str">
        <f ca="1">IF(B2473="","",IF(ISERROR(MATCH($J2473,SorP!$B$1:$B$6230,0)),"",INDIRECT("'SorP'!$A$"&amp;MATCH($J2473,SorP!$B$1:$B$6230,0))))</f>
        <v/>
      </c>
      <c r="U2473" s="241"/>
      <c r="V2473" s="275" t="e">
        <f>IF(C2473="",NA(),MATCH($B2473&amp;$C2473,'Smelter Look-up'!$J:$J,0))</f>
        <v>#N/A</v>
      </c>
      <c r="W2473" s="276"/>
      <c r="X2473" s="276">
        <f t="shared" ca="1" si="349"/>
        <v>0</v>
      </c>
      <c r="Y2473" s="276"/>
      <c r="Z2473" s="276"/>
      <c r="AB2473" s="278" t="str">
        <f t="shared" si="350"/>
        <v/>
      </c>
    </row>
    <row r="2474" spans="1:28" s="277" customFormat="1" ht="20.25">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348"/>
        <v/>
      </c>
      <c r="T2474" s="225" t="str">
        <f ca="1">IF(B2474="","",IF(ISERROR(MATCH($J2474,SorP!$B$1:$B$6230,0)),"",INDIRECT("'SorP'!$A$"&amp;MATCH($J2474,SorP!$B$1:$B$6230,0))))</f>
        <v/>
      </c>
      <c r="U2474" s="241"/>
      <c r="V2474" s="275" t="e">
        <f>IF(C2474="",NA(),MATCH($B2474&amp;$C2474,'Smelter Look-up'!$J:$J,0))</f>
        <v>#N/A</v>
      </c>
      <c r="W2474" s="276"/>
      <c r="X2474" s="276">
        <f t="shared" ca="1" si="349"/>
        <v>0</v>
      </c>
      <c r="Y2474" s="276"/>
      <c r="Z2474" s="276"/>
      <c r="AB2474" s="278" t="str">
        <f t="shared" si="350"/>
        <v/>
      </c>
    </row>
    <row r="2475" spans="1:28" s="277" customFormat="1" ht="20.25">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348"/>
        <v/>
      </c>
      <c r="T2475" s="225" t="str">
        <f ca="1">IF(B2475="","",IF(ISERROR(MATCH($J2475,SorP!$B$1:$B$6230,0)),"",INDIRECT("'SorP'!$A$"&amp;MATCH($J2475,SorP!$B$1:$B$6230,0))))</f>
        <v/>
      </c>
      <c r="U2475" s="241"/>
      <c r="V2475" s="275" t="e">
        <f>IF(C2475="",NA(),MATCH($B2475&amp;$C2475,'Smelter Look-up'!$J:$J,0))</f>
        <v>#N/A</v>
      </c>
      <c r="W2475" s="276"/>
      <c r="X2475" s="276">
        <f t="shared" ca="1" si="349"/>
        <v>0</v>
      </c>
      <c r="Y2475" s="276"/>
      <c r="Z2475" s="276"/>
      <c r="AB2475" s="278" t="str">
        <f t="shared" si="350"/>
        <v/>
      </c>
    </row>
    <row r="2476" spans="1:28" s="277" customFormat="1" ht="20.25">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348"/>
        <v/>
      </c>
      <c r="T2476" s="225" t="str">
        <f ca="1">IF(B2476="","",IF(ISERROR(MATCH($J2476,SorP!$B$1:$B$6230,0)),"",INDIRECT("'SorP'!$A$"&amp;MATCH($J2476,SorP!$B$1:$B$6230,0))))</f>
        <v/>
      </c>
      <c r="U2476" s="241"/>
      <c r="V2476" s="275" t="e">
        <f>IF(C2476="",NA(),MATCH($B2476&amp;$C2476,'Smelter Look-up'!$J:$J,0))</f>
        <v>#N/A</v>
      </c>
      <c r="W2476" s="276"/>
      <c r="X2476" s="276">
        <f t="shared" ca="1" si="349"/>
        <v>0</v>
      </c>
      <c r="Y2476" s="276"/>
      <c r="Z2476" s="276"/>
      <c r="AB2476" s="278" t="str">
        <f t="shared" si="350"/>
        <v/>
      </c>
    </row>
    <row r="2477" spans="1:28" s="277" customFormat="1" ht="20.25">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348"/>
        <v/>
      </c>
      <c r="T2477" s="225" t="str">
        <f ca="1">IF(B2477="","",IF(ISERROR(MATCH($J2477,SorP!$B$1:$B$6230,0)),"",INDIRECT("'SorP'!$A$"&amp;MATCH($J2477,SorP!$B$1:$B$6230,0))))</f>
        <v/>
      </c>
      <c r="U2477" s="241"/>
      <c r="V2477" s="275" t="e">
        <f>IF(C2477="",NA(),MATCH($B2477&amp;$C2477,'Smelter Look-up'!$J:$J,0))</f>
        <v>#N/A</v>
      </c>
      <c r="W2477" s="276"/>
      <c r="X2477" s="276">
        <f t="shared" ca="1" si="349"/>
        <v>0</v>
      </c>
      <c r="Y2477" s="276"/>
      <c r="Z2477" s="276"/>
      <c r="AB2477" s="278" t="str">
        <f t="shared" si="350"/>
        <v/>
      </c>
    </row>
    <row r="2478" spans="1:28" s="277" customFormat="1" ht="20.25">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348"/>
        <v/>
      </c>
      <c r="T2478" s="225" t="str">
        <f ca="1">IF(B2478="","",IF(ISERROR(MATCH($J2478,SorP!$B$1:$B$6230,0)),"",INDIRECT("'SorP'!$A$"&amp;MATCH($J2478,SorP!$B$1:$B$6230,0))))</f>
        <v/>
      </c>
      <c r="U2478" s="241"/>
      <c r="V2478" s="275" t="e">
        <f>IF(C2478="",NA(),MATCH($B2478&amp;$C2478,'Smelter Look-up'!$J:$J,0))</f>
        <v>#N/A</v>
      </c>
      <c r="W2478" s="276"/>
      <c r="X2478" s="276">
        <f t="shared" ca="1" si="349"/>
        <v>0</v>
      </c>
      <c r="Y2478" s="276"/>
      <c r="Z2478" s="276"/>
      <c r="AB2478" s="278" t="str">
        <f t="shared" si="350"/>
        <v/>
      </c>
    </row>
    <row r="2479" spans="1:28" s="277" customFormat="1" ht="20.25">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348"/>
        <v/>
      </c>
      <c r="T2479" s="225" t="str">
        <f ca="1">IF(B2479="","",IF(ISERROR(MATCH($J2479,SorP!$B$1:$B$6230,0)),"",INDIRECT("'SorP'!$A$"&amp;MATCH($J2479,SorP!$B$1:$B$6230,0))))</f>
        <v/>
      </c>
      <c r="U2479" s="241"/>
      <c r="V2479" s="275" t="e">
        <f>IF(C2479="",NA(),MATCH($B2479&amp;$C2479,'Smelter Look-up'!$J:$J,0))</f>
        <v>#N/A</v>
      </c>
      <c r="W2479" s="276"/>
      <c r="X2479" s="276">
        <f t="shared" ca="1" si="349"/>
        <v>0</v>
      </c>
      <c r="Y2479" s="276"/>
      <c r="Z2479" s="276"/>
      <c r="AB2479" s="278" t="str">
        <f t="shared" si="350"/>
        <v/>
      </c>
    </row>
    <row r="2480" spans="1:28" s="277" customFormat="1" ht="20.25">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348"/>
        <v/>
      </c>
      <c r="T2480" s="225" t="str">
        <f ca="1">IF(B2480="","",IF(ISERROR(MATCH($J2480,SorP!$B$1:$B$6230,0)),"",INDIRECT("'SorP'!$A$"&amp;MATCH($J2480,SorP!$B$1:$B$6230,0))))</f>
        <v/>
      </c>
      <c r="U2480" s="241"/>
      <c r="V2480" s="275" t="e">
        <f>IF(C2480="",NA(),MATCH($B2480&amp;$C2480,'Smelter Look-up'!$J:$J,0))</f>
        <v>#N/A</v>
      </c>
      <c r="W2480" s="276"/>
      <c r="X2480" s="276">
        <f t="shared" ca="1" si="349"/>
        <v>0</v>
      </c>
      <c r="Y2480" s="276"/>
      <c r="Z2480" s="276"/>
      <c r="AB2480" s="278" t="str">
        <f t="shared" si="350"/>
        <v/>
      </c>
    </row>
    <row r="2481" spans="1:28" s="277" customFormat="1" ht="20.25">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ca="1" si="348"/>
        <v/>
      </c>
      <c r="T2481" s="225" t="str">
        <f ca="1">IF(B2481="","",IF(ISERROR(MATCH($J2481,SorP!$B$1:$B$6230,0)),"",INDIRECT("'SorP'!$A$"&amp;MATCH($J2481,SorP!$B$1:$B$6230,0))))</f>
        <v/>
      </c>
      <c r="U2481" s="241"/>
      <c r="V2481" s="275" t="e">
        <f>IF(C2481="",NA(),MATCH($B2481&amp;$C2481,'Smelter Look-up'!$J:$J,0))</f>
        <v>#N/A</v>
      </c>
      <c r="W2481" s="276"/>
      <c r="X2481" s="276">
        <f t="shared" ca="1" si="349"/>
        <v>0</v>
      </c>
      <c r="Y2481" s="276"/>
      <c r="Z2481" s="276"/>
      <c r="AB2481" s="278" t="str">
        <f t="shared" si="350"/>
        <v/>
      </c>
    </row>
    <row r="2482" spans="1:28" s="277" customFormat="1" ht="20.25">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t="shared" ca="1" si="348"/>
        <v/>
      </c>
      <c r="T2482" s="225" t="str">
        <f ca="1">IF(B2482="","",IF(ISERROR(MATCH($J2482,SorP!$B$1:$B$6230,0)),"",INDIRECT("'SorP'!$A$"&amp;MATCH($J2482,SorP!$B$1:$B$6230,0))))</f>
        <v/>
      </c>
      <c r="U2482" s="241"/>
      <c r="V2482" s="275" t="e">
        <f>IF(C2482="",NA(),MATCH($B2482&amp;$C2482,'Smelter Look-up'!$J:$J,0))</f>
        <v>#N/A</v>
      </c>
      <c r="W2482" s="276"/>
      <c r="X2482" s="276">
        <f t="shared" ca="1" si="349"/>
        <v>0</v>
      </c>
      <c r="Y2482" s="276"/>
      <c r="Z2482" s="276"/>
      <c r="AB2482" s="278" t="str">
        <f t="shared" si="350"/>
        <v/>
      </c>
    </row>
    <row r="2483" spans="1:28" s="277" customFormat="1" ht="20.25">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ca="1" si="348"/>
        <v/>
      </c>
      <c r="T2483" s="225" t="str">
        <f ca="1">IF(B2483="","",IF(ISERROR(MATCH($J2483,SorP!$B$1:$B$6230,0)),"",INDIRECT("'SorP'!$A$"&amp;MATCH($J2483,SorP!$B$1:$B$6230,0))))</f>
        <v/>
      </c>
      <c r="U2483" s="241"/>
      <c r="V2483" s="275" t="e">
        <f>IF(C2483="",NA(),MATCH($B2483&amp;$C2483,'Smelter Look-up'!$J:$J,0))</f>
        <v>#N/A</v>
      </c>
      <c r="W2483" s="276"/>
      <c r="X2483" s="276">
        <f t="shared" ca="1" si="349"/>
        <v>0</v>
      </c>
      <c r="Y2483" s="276"/>
      <c r="Z2483" s="276"/>
      <c r="AB2483" s="278" t="str">
        <f t="shared" si="350"/>
        <v/>
      </c>
    </row>
    <row r="2484" spans="1:28" s="277" customFormat="1" ht="20.25">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ca="1" si="348"/>
        <v/>
      </c>
      <c r="T2484" s="225" t="str">
        <f ca="1">IF(B2484="","",IF(ISERROR(MATCH($J2484,SorP!$B$1:$B$6230,0)),"",INDIRECT("'SorP'!$A$"&amp;MATCH($J2484,SorP!$B$1:$B$6230,0))))</f>
        <v/>
      </c>
      <c r="U2484" s="241"/>
      <c r="V2484" s="275" t="e">
        <f>IF(C2484="",NA(),MATCH($B2484&amp;$C2484,'Smelter Look-up'!$J:$J,0))</f>
        <v>#N/A</v>
      </c>
      <c r="W2484" s="276"/>
      <c r="X2484" s="276">
        <f t="shared" ca="1" si="349"/>
        <v>0</v>
      </c>
      <c r="Y2484" s="276"/>
      <c r="Z2484" s="276"/>
      <c r="AB2484" s="278" t="str">
        <f t="shared" si="350"/>
        <v/>
      </c>
    </row>
    <row r="2485" spans="1:28" s="277" customFormat="1" ht="20.25">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348"/>
        <v/>
      </c>
      <c r="T2485" s="225" t="str">
        <f ca="1">IF(B2485="","",IF(ISERROR(MATCH($J2485,SorP!$B$1:$B$6230,0)),"",INDIRECT("'SorP'!$A$"&amp;MATCH($J2485,SorP!$B$1:$B$6230,0))))</f>
        <v/>
      </c>
      <c r="U2485" s="241"/>
      <c r="V2485" s="275" t="e">
        <f>IF(C2485="",NA(),MATCH($B2485&amp;$C2485,'Smelter Look-up'!$J:$J,0))</f>
        <v>#N/A</v>
      </c>
      <c r="W2485" s="276"/>
      <c r="X2485" s="276">
        <f t="shared" ca="1" si="349"/>
        <v>0</v>
      </c>
      <c r="Y2485" s="276"/>
      <c r="Z2485" s="276"/>
      <c r="AB2485" s="278" t="str">
        <f t="shared" si="350"/>
        <v/>
      </c>
    </row>
    <row r="2486" spans="1:28" s="277" customFormat="1" ht="20.25">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348"/>
        <v/>
      </c>
      <c r="T2486" s="225" t="str">
        <f ca="1">IF(B2486="","",IF(ISERROR(MATCH($J2486,SorP!$B$1:$B$6230,0)),"",INDIRECT("'SorP'!$A$"&amp;MATCH($J2486,SorP!$B$1:$B$6230,0))))</f>
        <v/>
      </c>
      <c r="U2486" s="241"/>
      <c r="V2486" s="275" t="e">
        <f>IF(C2486="",NA(),MATCH($B2486&amp;$C2486,'Smelter Look-up'!$J:$J,0))</f>
        <v>#N/A</v>
      </c>
      <c r="W2486" s="276"/>
      <c r="X2486" s="276">
        <f t="shared" ca="1" si="349"/>
        <v>0</v>
      </c>
      <c r="Y2486" s="276"/>
      <c r="Z2486" s="276"/>
      <c r="AB2486" s="278" t="str">
        <f t="shared" si="350"/>
        <v/>
      </c>
    </row>
    <row r="2487" spans="1:28" s="277" customFormat="1" ht="20.25">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348"/>
        <v/>
      </c>
      <c r="T2487" s="225" t="str">
        <f ca="1">IF(B2487="","",IF(ISERROR(MATCH($J2487,SorP!$B$1:$B$6230,0)),"",INDIRECT("'SorP'!$A$"&amp;MATCH($J2487,SorP!$B$1:$B$6230,0))))</f>
        <v/>
      </c>
      <c r="U2487" s="241"/>
      <c r="V2487" s="275" t="e">
        <f>IF(C2487="",NA(),MATCH($B2487&amp;$C2487,'Smelter Look-up'!$J:$J,0))</f>
        <v>#N/A</v>
      </c>
      <c r="W2487" s="276"/>
      <c r="X2487" s="276">
        <f t="shared" ca="1" si="349"/>
        <v>0</v>
      </c>
      <c r="Y2487" s="276"/>
      <c r="Z2487" s="276"/>
      <c r="AB2487" s="278" t="str">
        <f t="shared" si="350"/>
        <v/>
      </c>
    </row>
    <row r="2488" spans="1:28" s="277" customFormat="1" ht="20.25">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348"/>
        <v/>
      </c>
      <c r="T2488" s="225" t="str">
        <f ca="1">IF(B2488="","",IF(ISERROR(MATCH($J2488,SorP!$B$1:$B$6230,0)),"",INDIRECT("'SorP'!$A$"&amp;MATCH($J2488,SorP!$B$1:$B$6230,0))))</f>
        <v/>
      </c>
      <c r="U2488" s="241"/>
      <c r="V2488" s="275" t="e">
        <f>IF(C2488="",NA(),MATCH($B2488&amp;$C2488,'Smelter Look-up'!$J:$J,0))</f>
        <v>#N/A</v>
      </c>
      <c r="W2488" s="276"/>
      <c r="X2488" s="276">
        <f t="shared" ca="1" si="349"/>
        <v>0</v>
      </c>
      <c r="Y2488" s="276"/>
      <c r="Z2488" s="276"/>
      <c r="AB2488" s="278" t="str">
        <f t="shared" si="350"/>
        <v/>
      </c>
    </row>
    <row r="2489" spans="1:28" s="277" customFormat="1" ht="20.25">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348"/>
        <v/>
      </c>
      <c r="T2489" s="225" t="str">
        <f ca="1">IF(B2489="","",IF(ISERROR(MATCH($J2489,SorP!$B$1:$B$6230,0)),"",INDIRECT("'SorP'!$A$"&amp;MATCH($J2489,SorP!$B$1:$B$6230,0))))</f>
        <v/>
      </c>
      <c r="U2489" s="241"/>
      <c r="V2489" s="275" t="e">
        <f>IF(C2489="",NA(),MATCH($B2489&amp;$C2489,'Smelter Look-up'!$J:$J,0))</f>
        <v>#N/A</v>
      </c>
      <c r="W2489" s="276"/>
      <c r="X2489" s="276">
        <f t="shared" ca="1" si="349"/>
        <v>0</v>
      </c>
      <c r="Y2489" s="276"/>
      <c r="Z2489" s="276"/>
      <c r="AB2489" s="278" t="str">
        <f t="shared" si="350"/>
        <v/>
      </c>
    </row>
    <row r="2490" spans="1:28" s="277" customFormat="1" ht="20.25">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ca="1" si="348"/>
        <v/>
      </c>
      <c r="T2490" s="225" t="str">
        <f ca="1">IF(B2490="","",IF(ISERROR(MATCH($J2490,SorP!$B$1:$B$6230,0)),"",INDIRECT("'SorP'!$A$"&amp;MATCH($J2490,SorP!$B$1:$B$6230,0))))</f>
        <v/>
      </c>
      <c r="U2490" s="241"/>
      <c r="V2490" s="275" t="e">
        <f>IF(C2490="",NA(),MATCH($B2490&amp;$C2490,'Smelter Look-up'!$J:$J,0))</f>
        <v>#N/A</v>
      </c>
      <c r="W2490" s="276"/>
      <c r="X2490" s="276">
        <f t="shared" ca="1" si="349"/>
        <v>0</v>
      </c>
      <c r="Y2490" s="276"/>
      <c r="Z2490" s="276"/>
      <c r="AB2490" s="278" t="str">
        <f t="shared" si="350"/>
        <v/>
      </c>
    </row>
    <row r="2491" spans="1:28" s="277" customFormat="1" ht="20.25">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t="shared" ref="S2491" ca="1" si="351">IF(B2491="","",IF(ISERROR(MATCH($E2491,CL,0)),"Unknown",INDIRECT("'C'!$A$"&amp;MATCH($E2491,CL,0)+1)))</f>
        <v/>
      </c>
      <c r="T2491" s="225" t="str">
        <f ca="1">IF(B2491="","",IF(ISERROR(MATCH($J2491,SorP!$B$1:$B$6230,0)),"",INDIRECT("'SorP'!$A$"&amp;MATCH($J2491,SorP!$B$1:$B$6230,0))))</f>
        <v/>
      </c>
      <c r="U2491" s="241"/>
      <c r="V2491" s="275" t="e">
        <f>IF(C2491="",NA(),MATCH($B2491&amp;$C2491,'Smelter Look-up'!$J:$J,0))</f>
        <v>#N/A</v>
      </c>
      <c r="W2491" s="276"/>
      <c r="X2491" s="276">
        <f t="shared" ca="1" si="349"/>
        <v>0</v>
      </c>
      <c r="Y2491" s="276"/>
      <c r="Z2491" s="276"/>
      <c r="AB2491" s="278" t="str">
        <f t="shared" ref="AB2491" si="352">B2491&amp;C2491</f>
        <v/>
      </c>
    </row>
    <row r="2492" spans="1:28" s="277" customFormat="1" ht="20.25">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ca="1">IF(B2492="","",IF(ISERROR(MATCH($E2492,CL,0)),"Unknown",INDIRECT("'C'!$A$"&amp;MATCH($E2492,CL,0)+1)))</f>
        <v/>
      </c>
      <c r="T2492" s="225" t="str">
        <f ca="1">IF(B2492="","",IF(ISERROR(MATCH($J2492,SorP!$B$1:$B$6230,0)),"",INDIRECT("'SorP'!$A$"&amp;MATCH($J2492,SorP!$B$1:$B$6230,0))))</f>
        <v/>
      </c>
      <c r="U2492" s="241"/>
      <c r="V2492" s="275" t="e">
        <f>IF(C2492="",NA(),MATCH($B2492&amp;$C2492,'Smelter Look-up'!$J:$J,0))</f>
        <v>#N/A</v>
      </c>
      <c r="W2492" s="276"/>
      <c r="X2492" s="276">
        <f t="shared" ca="1" si="349"/>
        <v>0</v>
      </c>
      <c r="Y2492" s="276"/>
      <c r="Z2492" s="276"/>
      <c r="AB2492" s="278" t="str">
        <f>B2492&amp;C2492</f>
        <v/>
      </c>
    </row>
    <row r="2493" spans="1:28" s="277" customFormat="1" ht="20.25">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ref="S2493" ca="1" si="353">IF(B2493="","",IF(ISERROR(MATCH($E2493,CL,0)),"Unknown",INDIRECT("'C'!$A$"&amp;MATCH($E2493,CL,0)+1)))</f>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20.25">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ref="S2494:S2505" ca="1" si="354">IF(B2494="","",IF(ISERROR(MATCH($E2494,CL,0)),"Unknown",INDIRECT("'C'!$A$"&amp;MATCH($E2494,CL,0)+1)))</f>
        <v/>
      </c>
      <c r="T2494" s="225" t="str">
        <f ca="1">IF(B2494="","",IF(ISERROR(MATCH($J2494,SorP!$B$1:$B$6230,0)),"",INDIRECT("'SorP'!$A$"&amp;MATCH($J2494,SorP!$B$1:$B$6230,0))))</f>
        <v/>
      </c>
      <c r="U2494" s="241"/>
      <c r="V2494" s="275" t="e">
        <f>IF(C2494="",NA(),MATCH($B2494&amp;$C2494,'Smelter Look-up'!$J:$J,0))</f>
        <v>#N/A</v>
      </c>
      <c r="W2494" s="276"/>
      <c r="X2494" s="276"/>
      <c r="Y2494" s="276"/>
      <c r="Z2494" s="276"/>
      <c r="AB2494" s="278"/>
    </row>
    <row r="2495" spans="1:28" s="277" customFormat="1" ht="20.25">
      <c r="A2495" s="216"/>
      <c r="B2495" s="217" t="str">
        <f>IF(LEN(A2495)=0,"",INDEX('Smelter Look-up'!$A:$A,MATCH($A2495,'Smelter Look-up'!$E:$E,0)))</f>
        <v/>
      </c>
      <c r="C2495" s="221" t="str">
        <f>IF(LEN(A2495)=0,"",INDEX('Smelter Look-up'!$C:$C,MATCH($A2495,'Smelter Look-up'!$E:$E,0)))</f>
        <v/>
      </c>
      <c r="D2495" s="283"/>
      <c r="E2495" s="217" t="str">
        <f ca="1">IF(ISERROR($V2495),"",OFFSET('Smelter Look-up'!$D$4,$V2495-4,0)&amp;"")</f>
        <v/>
      </c>
      <c r="F2495" s="217" t="str">
        <f ca="1">IF(ISERROR($V2495),"",OFFSET('Smelter Look-up'!$E$4,$V2495-4,0))</f>
        <v/>
      </c>
      <c r="G2495" s="217" t="str">
        <f ca="1">IF(C2495=$X$4,"Enter smelter details",IF(ISERROR($V2495),"",OFFSET('Smelter Look-up'!$F$4,$V2495-4,0)))</f>
        <v/>
      </c>
      <c r="H2495" s="218" t="str">
        <f ca="1">IF(ISERROR($V2495),"",OFFSET('Smelter Look-up'!$G$4,$V2495-4,0))</f>
        <v/>
      </c>
      <c r="I2495" s="219" t="str">
        <f ca="1">IF(ISERROR($V2495),"",OFFSET('Smelter Look-up'!$H$4,$V2495-4,0))</f>
        <v/>
      </c>
      <c r="J2495" s="219" t="str">
        <f ca="1">IF(ISERROR($V2495),"",OFFSET('Smelter Look-up'!$I$4,$V2495-4,0))</f>
        <v/>
      </c>
      <c r="K2495" s="273"/>
      <c r="L2495" s="273"/>
      <c r="M2495" s="273"/>
      <c r="N2495" s="273"/>
      <c r="O2495" s="273"/>
      <c r="P2495" s="220"/>
      <c r="Q2495" s="274"/>
      <c r="R2495" s="217" t="str">
        <f ca="1">IF(ISERROR($V2495),"",OFFSET('Smelter Look-up'!$C$4,$V2495-4,0)&amp;"")</f>
        <v/>
      </c>
      <c r="S2495" s="225" t="str">
        <f t="shared" ca="1" si="354"/>
        <v/>
      </c>
      <c r="T2495" s="225" t="str">
        <f ca="1">IF(B2495="","",IF(ISERROR(MATCH($J2495,SorP!$B$1:$B$6230,0)),"",INDIRECT("'SorP'!$A$"&amp;MATCH($J2495,SorP!$B$1:$B$6230,0))))</f>
        <v/>
      </c>
      <c r="U2495" s="241"/>
      <c r="V2495" s="275" t="e">
        <f>IF(C2495="",NA(),MATCH($B2495&amp;$C2495,'Smelter Look-up'!$J:$J,0))</f>
        <v>#N/A</v>
      </c>
      <c r="W2495" s="276"/>
      <c r="X2495" s="276"/>
      <c r="Y2495" s="276"/>
      <c r="Z2495" s="276"/>
      <c r="AB2495" s="278"/>
    </row>
    <row r="2496" spans="1:28" s="277" customFormat="1" ht="20.25">
      <c r="A2496" s="216"/>
      <c r="B2496" s="217" t="str">
        <f>IF(LEN(A2496)=0,"",INDEX('Smelter Look-up'!$A:$A,MATCH($A2496,'Smelter Look-up'!$E:$E,0)))</f>
        <v/>
      </c>
      <c r="C2496" s="221" t="str">
        <f>IF(LEN(A2496)=0,"",INDEX('Smelter Look-up'!$C:$C,MATCH($A2496,'Smelter Look-up'!$E:$E,0)))</f>
        <v/>
      </c>
      <c r="D2496" s="283"/>
      <c r="E2496" s="217" t="str">
        <f ca="1">IF(ISERROR($V2496),"",OFFSET('Smelter Look-up'!$D$4,$V2496-4,0)&amp;"")</f>
        <v/>
      </c>
      <c r="F2496" s="217" t="str">
        <f ca="1">IF(ISERROR($V2496),"",OFFSET('Smelter Look-up'!$E$4,$V2496-4,0))</f>
        <v/>
      </c>
      <c r="G2496" s="217" t="str">
        <f ca="1">IF(C2496=$X$4,"Enter smelter details",IF(ISERROR($V2496),"",OFFSET('Smelter Look-up'!$F$4,$V2496-4,0)))</f>
        <v/>
      </c>
      <c r="H2496" s="218" t="str">
        <f ca="1">IF(ISERROR($V2496),"",OFFSET('Smelter Look-up'!$G$4,$V2496-4,0))</f>
        <v/>
      </c>
      <c r="I2496" s="219" t="str">
        <f ca="1">IF(ISERROR($V2496),"",OFFSET('Smelter Look-up'!$H$4,$V2496-4,0))</f>
        <v/>
      </c>
      <c r="J2496" s="219" t="str">
        <f ca="1">IF(ISERROR($V2496),"",OFFSET('Smelter Look-up'!$I$4,$V2496-4,0))</f>
        <v/>
      </c>
      <c r="K2496" s="273"/>
      <c r="L2496" s="273"/>
      <c r="M2496" s="273"/>
      <c r="N2496" s="273"/>
      <c r="O2496" s="273"/>
      <c r="P2496" s="220"/>
      <c r="Q2496" s="274"/>
      <c r="R2496" s="217" t="str">
        <f ca="1">IF(ISERROR($V2496),"",OFFSET('Smelter Look-up'!$C$4,$V2496-4,0)&amp;"")</f>
        <v/>
      </c>
      <c r="S2496" s="225" t="str">
        <f t="shared" ca="1" si="354"/>
        <v/>
      </c>
      <c r="T2496" s="225" t="str">
        <f ca="1">IF(B2496="","",IF(ISERROR(MATCH($J2496,SorP!$B$1:$B$6230,0)),"",INDIRECT("'SorP'!$A$"&amp;MATCH($J2496,SorP!$B$1:$B$6230,0))))</f>
        <v/>
      </c>
      <c r="U2496" s="241"/>
      <c r="V2496" s="275" t="e">
        <f>IF(C2496="",NA(),MATCH($B2496&amp;$C2496,'Smelter Look-up'!$J:$J,0))</f>
        <v>#N/A</v>
      </c>
      <c r="W2496" s="276"/>
      <c r="X2496" s="276"/>
      <c r="Y2496" s="276"/>
      <c r="Z2496" s="276"/>
      <c r="AB2496" s="278"/>
    </row>
    <row r="2497" spans="1:28" s="277" customFormat="1" ht="20.25">
      <c r="A2497" s="216"/>
      <c r="B2497" s="217" t="str">
        <f>IF(LEN(A2497)=0,"",INDEX('Smelter Look-up'!$A:$A,MATCH($A2497,'Smelter Look-up'!$E:$E,0)))</f>
        <v/>
      </c>
      <c r="C2497" s="221" t="str">
        <f>IF(LEN(A2497)=0,"",INDEX('Smelter Look-up'!$C:$C,MATCH($A2497,'Smelter Look-up'!$E:$E,0)))</f>
        <v/>
      </c>
      <c r="D2497" s="283"/>
      <c r="E2497" s="217" t="str">
        <f ca="1">IF(ISERROR($V2497),"",OFFSET('Smelter Look-up'!$D$4,$V2497-4,0)&amp;"")</f>
        <v/>
      </c>
      <c r="F2497" s="217" t="str">
        <f ca="1">IF(ISERROR($V2497),"",OFFSET('Smelter Look-up'!$E$4,$V2497-4,0))</f>
        <v/>
      </c>
      <c r="G2497" s="217" t="str">
        <f ca="1">IF(C2497=$X$4,"Enter smelter details",IF(ISERROR($V2497),"",OFFSET('Smelter Look-up'!$F$4,$V2497-4,0)))</f>
        <v/>
      </c>
      <c r="H2497" s="218" t="str">
        <f ca="1">IF(ISERROR($V2497),"",OFFSET('Smelter Look-up'!$G$4,$V2497-4,0))</f>
        <v/>
      </c>
      <c r="I2497" s="219" t="str">
        <f ca="1">IF(ISERROR($V2497),"",OFFSET('Smelter Look-up'!$H$4,$V2497-4,0))</f>
        <v/>
      </c>
      <c r="J2497" s="219" t="str">
        <f ca="1">IF(ISERROR($V2497),"",OFFSET('Smelter Look-up'!$I$4,$V2497-4,0))</f>
        <v/>
      </c>
      <c r="K2497" s="273"/>
      <c r="L2497" s="273"/>
      <c r="M2497" s="273"/>
      <c r="N2497" s="273"/>
      <c r="O2497" s="273"/>
      <c r="P2497" s="220"/>
      <c r="Q2497" s="274"/>
      <c r="R2497" s="217" t="str">
        <f ca="1">IF(ISERROR($V2497),"",OFFSET('Smelter Look-up'!$C$4,$V2497-4,0)&amp;"")</f>
        <v/>
      </c>
      <c r="S2497" s="225" t="str">
        <f t="shared" ca="1" si="354"/>
        <v/>
      </c>
      <c r="T2497" s="225" t="str">
        <f ca="1">IF(B2497="","",IF(ISERROR(MATCH($J2497,SorP!$B$1:$B$6230,0)),"",INDIRECT("'SorP'!$A$"&amp;MATCH($J2497,SorP!$B$1:$B$6230,0))))</f>
        <v/>
      </c>
      <c r="U2497" s="241"/>
      <c r="V2497" s="275" t="e">
        <f>IF(C2497="",NA(),MATCH($B2497&amp;$C2497,'Smelter Look-up'!$J:$J,0))</f>
        <v>#N/A</v>
      </c>
      <c r="W2497" s="276"/>
      <c r="X2497" s="276"/>
      <c r="Y2497" s="276"/>
      <c r="Z2497" s="276"/>
      <c r="AB2497" s="278"/>
    </row>
    <row r="2498" spans="1:28" s="277" customFormat="1" ht="20.25">
      <c r="A2498" s="216"/>
      <c r="B2498" s="217" t="str">
        <f>IF(LEN(A2498)=0,"",INDEX('Smelter Look-up'!$A:$A,MATCH($A2498,'Smelter Look-up'!$E:$E,0)))</f>
        <v/>
      </c>
      <c r="C2498" s="221" t="str">
        <f>IF(LEN(A2498)=0,"",INDEX('Smelter Look-up'!$C:$C,MATCH($A2498,'Smelter Look-up'!$E:$E,0)))</f>
        <v/>
      </c>
      <c r="D2498" s="283"/>
      <c r="E2498" s="217" t="str">
        <f ca="1">IF(ISERROR($V2498),"",OFFSET('Smelter Look-up'!$D$4,$V2498-4,0)&amp;"")</f>
        <v/>
      </c>
      <c r="F2498" s="217" t="str">
        <f ca="1">IF(ISERROR($V2498),"",OFFSET('Smelter Look-up'!$E$4,$V2498-4,0))</f>
        <v/>
      </c>
      <c r="G2498" s="217" t="str">
        <f ca="1">IF(C2498=$X$4,"Enter smelter details",IF(ISERROR($V2498),"",OFFSET('Smelter Look-up'!$F$4,$V2498-4,0)))</f>
        <v/>
      </c>
      <c r="H2498" s="218" t="str">
        <f ca="1">IF(ISERROR($V2498),"",OFFSET('Smelter Look-up'!$G$4,$V2498-4,0))</f>
        <v/>
      </c>
      <c r="I2498" s="219" t="str">
        <f ca="1">IF(ISERROR($V2498),"",OFFSET('Smelter Look-up'!$H$4,$V2498-4,0))</f>
        <v/>
      </c>
      <c r="J2498" s="219" t="str">
        <f ca="1">IF(ISERROR($V2498),"",OFFSET('Smelter Look-up'!$I$4,$V2498-4,0))</f>
        <v/>
      </c>
      <c r="K2498" s="273"/>
      <c r="L2498" s="273"/>
      <c r="M2498" s="273"/>
      <c r="N2498" s="273"/>
      <c r="O2498" s="273"/>
      <c r="P2498" s="220"/>
      <c r="Q2498" s="274"/>
      <c r="R2498" s="217" t="str">
        <f ca="1">IF(ISERROR($V2498),"",OFFSET('Smelter Look-up'!$C$4,$V2498-4,0)&amp;"")</f>
        <v/>
      </c>
      <c r="S2498" s="225" t="str">
        <f t="shared" ca="1" si="354"/>
        <v/>
      </c>
      <c r="T2498" s="225" t="str">
        <f ca="1">IF(B2498="","",IF(ISERROR(MATCH($J2498,SorP!$B$1:$B$6230,0)),"",INDIRECT("'SorP'!$A$"&amp;MATCH($J2498,SorP!$B$1:$B$6230,0))))</f>
        <v/>
      </c>
      <c r="U2498" s="241"/>
      <c r="V2498" s="275" t="e">
        <f>IF(C2498="",NA(),MATCH($B2498&amp;$C2498,'Smelter Look-up'!$J:$J,0))</f>
        <v>#N/A</v>
      </c>
      <c r="W2498" s="276"/>
      <c r="X2498" s="276"/>
      <c r="Y2498" s="276"/>
      <c r="Z2498" s="276"/>
      <c r="AB2498" s="278"/>
    </row>
    <row r="2499" spans="1:28" s="277" customFormat="1" ht="20.25">
      <c r="A2499" s="216"/>
      <c r="B2499" s="217" t="str">
        <f>IF(LEN(A2499)=0,"",INDEX('Smelter Look-up'!$A:$A,MATCH($A2499,'Smelter Look-up'!$E:$E,0)))</f>
        <v/>
      </c>
      <c r="C2499" s="221" t="str">
        <f>IF(LEN(A2499)=0,"",INDEX('Smelter Look-up'!$C:$C,MATCH($A2499,'Smelter Look-up'!$E:$E,0)))</f>
        <v/>
      </c>
      <c r="D2499" s="283"/>
      <c r="E2499" s="217" t="str">
        <f ca="1">IF(ISERROR($V2499),"",OFFSET('Smelter Look-up'!$D$4,$V2499-4,0)&amp;"")</f>
        <v/>
      </c>
      <c r="F2499" s="217" t="str">
        <f ca="1">IF(ISERROR($V2499),"",OFFSET('Smelter Look-up'!$E$4,$V2499-4,0))</f>
        <v/>
      </c>
      <c r="G2499" s="217" t="str">
        <f ca="1">IF(C2499=$X$4,"Enter smelter details",IF(ISERROR($V2499),"",OFFSET('Smelter Look-up'!$F$4,$V2499-4,0)))</f>
        <v/>
      </c>
      <c r="H2499" s="218" t="str">
        <f ca="1">IF(ISERROR($V2499),"",OFFSET('Smelter Look-up'!$G$4,$V2499-4,0))</f>
        <v/>
      </c>
      <c r="I2499" s="219" t="str">
        <f ca="1">IF(ISERROR($V2499),"",OFFSET('Smelter Look-up'!$H$4,$V2499-4,0))</f>
        <v/>
      </c>
      <c r="J2499" s="219" t="str">
        <f ca="1">IF(ISERROR($V2499),"",OFFSET('Smelter Look-up'!$I$4,$V2499-4,0))</f>
        <v/>
      </c>
      <c r="K2499" s="273"/>
      <c r="L2499" s="273"/>
      <c r="M2499" s="273"/>
      <c r="N2499" s="273"/>
      <c r="O2499" s="273"/>
      <c r="P2499" s="220"/>
      <c r="Q2499" s="274"/>
      <c r="R2499" s="217" t="str">
        <f ca="1">IF(ISERROR($V2499),"",OFFSET('Smelter Look-up'!$C$4,$V2499-4,0)&amp;"")</f>
        <v/>
      </c>
      <c r="S2499" s="225" t="str">
        <f t="shared" ca="1" si="354"/>
        <v/>
      </c>
      <c r="T2499" s="225" t="str">
        <f ca="1">IF(B2499="","",IF(ISERROR(MATCH($J2499,SorP!$B$1:$B$6230,0)),"",INDIRECT("'SorP'!$A$"&amp;MATCH($J2499,SorP!$B$1:$B$6230,0))))</f>
        <v/>
      </c>
      <c r="U2499" s="241"/>
      <c r="V2499" s="275" t="e">
        <f>IF(C2499="",NA(),MATCH($B2499&amp;$C2499,'Smelter Look-up'!$J:$J,0))</f>
        <v>#N/A</v>
      </c>
      <c r="W2499" s="276"/>
      <c r="X2499" s="276"/>
      <c r="Y2499" s="276"/>
      <c r="Z2499" s="276"/>
      <c r="AB2499" s="278"/>
    </row>
    <row r="2500" spans="1:28" s="277" customFormat="1" ht="20.25">
      <c r="A2500" s="216"/>
      <c r="B2500" s="217" t="str">
        <f>IF(LEN(A2500)=0,"",INDEX('Smelter Look-up'!$A:$A,MATCH($A2500,'Smelter Look-up'!$E:$E,0)))</f>
        <v/>
      </c>
      <c r="C2500" s="221" t="str">
        <f>IF(LEN(A2500)=0,"",INDEX('Smelter Look-up'!$C:$C,MATCH($A2500,'Smelter Look-up'!$E:$E,0)))</f>
        <v/>
      </c>
      <c r="D2500" s="283"/>
      <c r="E2500" s="217" t="str">
        <f ca="1">IF(ISERROR($V2500),"",OFFSET('Smelter Look-up'!$D$4,$V2500-4,0)&amp;"")</f>
        <v/>
      </c>
      <c r="F2500" s="217" t="str">
        <f ca="1">IF(ISERROR($V2500),"",OFFSET('Smelter Look-up'!$E$4,$V2500-4,0))</f>
        <v/>
      </c>
      <c r="G2500" s="217" t="str">
        <f ca="1">IF(C2500=$X$4,"Enter smelter details",IF(ISERROR($V2500),"",OFFSET('Smelter Look-up'!$F$4,$V2500-4,0)))</f>
        <v/>
      </c>
      <c r="H2500" s="218" t="str">
        <f ca="1">IF(ISERROR($V2500),"",OFFSET('Smelter Look-up'!$G$4,$V2500-4,0))</f>
        <v/>
      </c>
      <c r="I2500" s="219" t="str">
        <f ca="1">IF(ISERROR($V2500),"",OFFSET('Smelter Look-up'!$H$4,$V2500-4,0))</f>
        <v/>
      </c>
      <c r="J2500" s="219" t="str">
        <f ca="1">IF(ISERROR($V2500),"",OFFSET('Smelter Look-up'!$I$4,$V2500-4,0))</f>
        <v/>
      </c>
      <c r="K2500" s="273"/>
      <c r="L2500" s="273"/>
      <c r="M2500" s="273"/>
      <c r="N2500" s="273"/>
      <c r="O2500" s="273"/>
      <c r="P2500" s="220"/>
      <c r="Q2500" s="274"/>
      <c r="R2500" s="217" t="str">
        <f ca="1">IF(ISERROR($V2500),"",OFFSET('Smelter Look-up'!$C$4,$V2500-4,0)&amp;"")</f>
        <v/>
      </c>
      <c r="S2500" s="225" t="str">
        <f t="shared" ca="1" si="354"/>
        <v/>
      </c>
      <c r="T2500" s="225" t="str">
        <f ca="1">IF(B2500="","",IF(ISERROR(MATCH($J2500,SorP!$B$1:$B$6230,0)),"",INDIRECT("'SorP'!$A$"&amp;MATCH($J2500,SorP!$B$1:$B$6230,0))))</f>
        <v/>
      </c>
      <c r="U2500" s="241"/>
      <c r="V2500" s="275" t="e">
        <f>IF(C2500="",NA(),MATCH($B2500&amp;$C2500,'Smelter Look-up'!$J:$J,0))</f>
        <v>#N/A</v>
      </c>
      <c r="W2500" s="276"/>
      <c r="X2500" s="276"/>
      <c r="Y2500" s="276"/>
      <c r="Z2500" s="276"/>
      <c r="AB2500" s="278"/>
    </row>
    <row r="2501" spans="1:28" s="277" customFormat="1" ht="20.25">
      <c r="A2501" s="216"/>
      <c r="B2501" s="217" t="str">
        <f>IF(LEN(A2501)=0,"",INDEX('Smelter Look-up'!$A:$A,MATCH($A2501,'Smelter Look-up'!$E:$E,0)))</f>
        <v/>
      </c>
      <c r="C2501" s="221" t="str">
        <f>IF(LEN(A2501)=0,"",INDEX('Smelter Look-up'!$C:$C,MATCH($A2501,'Smelter Look-up'!$E:$E,0)))</f>
        <v/>
      </c>
      <c r="D2501" s="283"/>
      <c r="E2501" s="217" t="str">
        <f ca="1">IF(ISERROR($V2501),"",OFFSET('Smelter Look-up'!$D$4,$V2501-4,0)&amp;"")</f>
        <v/>
      </c>
      <c r="F2501" s="217" t="str">
        <f ca="1">IF(ISERROR($V2501),"",OFFSET('Smelter Look-up'!$E$4,$V2501-4,0))</f>
        <v/>
      </c>
      <c r="G2501" s="217" t="str">
        <f ca="1">IF(C2501=$X$4,"Enter smelter details",IF(ISERROR($V2501),"",OFFSET('Smelter Look-up'!$F$4,$V2501-4,0)))</f>
        <v/>
      </c>
      <c r="H2501" s="218" t="str">
        <f ca="1">IF(ISERROR($V2501),"",OFFSET('Smelter Look-up'!$G$4,$V2501-4,0))</f>
        <v/>
      </c>
      <c r="I2501" s="219" t="str">
        <f ca="1">IF(ISERROR($V2501),"",OFFSET('Smelter Look-up'!$H$4,$V2501-4,0))</f>
        <v/>
      </c>
      <c r="J2501" s="219" t="str">
        <f ca="1">IF(ISERROR($V2501),"",OFFSET('Smelter Look-up'!$I$4,$V2501-4,0))</f>
        <v/>
      </c>
      <c r="K2501" s="273"/>
      <c r="L2501" s="273"/>
      <c r="M2501" s="273"/>
      <c r="N2501" s="273"/>
      <c r="O2501" s="273"/>
      <c r="P2501" s="220"/>
      <c r="Q2501" s="274"/>
      <c r="R2501" s="217" t="str">
        <f ca="1">IF(ISERROR($V2501),"",OFFSET('Smelter Look-up'!$C$4,$V2501-4,0)&amp;"")</f>
        <v/>
      </c>
      <c r="S2501" s="225" t="str">
        <f t="shared" ca="1" si="354"/>
        <v/>
      </c>
      <c r="T2501" s="225" t="str">
        <f ca="1">IF(B2501="","",IF(ISERROR(MATCH($J2501,SorP!$B$1:$B$6230,0)),"",INDIRECT("'SorP'!$A$"&amp;MATCH($J2501,SorP!$B$1:$B$6230,0))))</f>
        <v/>
      </c>
      <c r="U2501" s="241"/>
      <c r="V2501" s="275" t="e">
        <f>IF(C2501="",NA(),MATCH($B2501&amp;$C2501,'Smelter Look-up'!$J:$J,0))</f>
        <v>#N/A</v>
      </c>
      <c r="W2501" s="276"/>
      <c r="X2501" s="276"/>
      <c r="Y2501" s="276"/>
      <c r="Z2501" s="276"/>
      <c r="AB2501" s="278"/>
    </row>
    <row r="2502" spans="1:28" s="277" customFormat="1" ht="20.25">
      <c r="A2502" s="216"/>
      <c r="B2502" s="217" t="str">
        <f>IF(LEN(A2502)=0,"",INDEX('Smelter Look-up'!$A:$A,MATCH($A2502,'Smelter Look-up'!$E:$E,0)))</f>
        <v/>
      </c>
      <c r="C2502" s="221" t="str">
        <f>IF(LEN(A2502)=0,"",INDEX('Smelter Look-up'!$C:$C,MATCH($A2502,'Smelter Look-up'!$E:$E,0)))</f>
        <v/>
      </c>
      <c r="D2502" s="283"/>
      <c r="E2502" s="217" t="str">
        <f ca="1">IF(ISERROR($V2502),"",OFFSET('Smelter Look-up'!$D$4,$V2502-4,0)&amp;"")</f>
        <v/>
      </c>
      <c r="F2502" s="217" t="str">
        <f ca="1">IF(ISERROR($V2502),"",OFFSET('Smelter Look-up'!$E$4,$V2502-4,0))</f>
        <v/>
      </c>
      <c r="G2502" s="217" t="str">
        <f ca="1">IF(C2502=$X$4,"Enter smelter details",IF(ISERROR($V2502),"",OFFSET('Smelter Look-up'!$F$4,$V2502-4,0)))</f>
        <v/>
      </c>
      <c r="H2502" s="218" t="str">
        <f ca="1">IF(ISERROR($V2502),"",OFFSET('Smelter Look-up'!$G$4,$V2502-4,0))</f>
        <v/>
      </c>
      <c r="I2502" s="219" t="str">
        <f ca="1">IF(ISERROR($V2502),"",OFFSET('Smelter Look-up'!$H$4,$V2502-4,0))</f>
        <v/>
      </c>
      <c r="J2502" s="219" t="str">
        <f ca="1">IF(ISERROR($V2502),"",OFFSET('Smelter Look-up'!$I$4,$V2502-4,0))</f>
        <v/>
      </c>
      <c r="K2502" s="273"/>
      <c r="L2502" s="273"/>
      <c r="M2502" s="273"/>
      <c r="N2502" s="273"/>
      <c r="O2502" s="273"/>
      <c r="P2502" s="220"/>
      <c r="Q2502" s="274"/>
      <c r="R2502" s="217" t="str">
        <f ca="1">IF(ISERROR($V2502),"",OFFSET('Smelter Look-up'!$C$4,$V2502-4,0)&amp;"")</f>
        <v/>
      </c>
      <c r="S2502" s="225" t="str">
        <f t="shared" ca="1" si="354"/>
        <v/>
      </c>
      <c r="T2502" s="225" t="str">
        <f ca="1">IF(B2502="","",IF(ISERROR(MATCH($J2502,SorP!$B$1:$B$6230,0)),"",INDIRECT("'SorP'!$A$"&amp;MATCH($J2502,SorP!$B$1:$B$6230,0))))</f>
        <v/>
      </c>
      <c r="U2502" s="241"/>
      <c r="V2502" s="275" t="e">
        <f>IF(C2502="",NA(),MATCH($B2502&amp;$C2502,'Smelter Look-up'!$J:$J,0))</f>
        <v>#N/A</v>
      </c>
      <c r="W2502" s="276"/>
      <c r="X2502" s="276"/>
      <c r="Y2502" s="276"/>
      <c r="Z2502" s="276"/>
      <c r="AB2502" s="278"/>
    </row>
    <row r="2503" spans="1:28" s="277" customFormat="1" ht="20.25">
      <c r="A2503" s="216"/>
      <c r="B2503" s="217" t="str">
        <f>IF(LEN(A2503)=0,"",INDEX('Smelter Look-up'!$A:$A,MATCH($A2503,'Smelter Look-up'!$E:$E,0)))</f>
        <v/>
      </c>
      <c r="C2503" s="221" t="str">
        <f>IF(LEN(A2503)=0,"",INDEX('Smelter Look-up'!$C:$C,MATCH($A2503,'Smelter Look-up'!$E:$E,0)))</f>
        <v/>
      </c>
      <c r="D2503" s="283"/>
      <c r="E2503" s="217" t="str">
        <f ca="1">IF(ISERROR($V2503),"",OFFSET('Smelter Look-up'!$D$4,$V2503-4,0)&amp;"")</f>
        <v/>
      </c>
      <c r="F2503" s="217" t="str">
        <f ca="1">IF(ISERROR($V2503),"",OFFSET('Smelter Look-up'!$E$4,$V2503-4,0))</f>
        <v/>
      </c>
      <c r="G2503" s="217" t="str">
        <f ca="1">IF(C2503=$X$4,"Enter smelter details",IF(ISERROR($V2503),"",OFFSET('Smelter Look-up'!$F$4,$V2503-4,0)))</f>
        <v/>
      </c>
      <c r="H2503" s="218" t="str">
        <f ca="1">IF(ISERROR($V2503),"",OFFSET('Smelter Look-up'!$G$4,$V2503-4,0))</f>
        <v/>
      </c>
      <c r="I2503" s="219" t="str">
        <f ca="1">IF(ISERROR($V2503),"",OFFSET('Smelter Look-up'!$H$4,$V2503-4,0))</f>
        <v/>
      </c>
      <c r="J2503" s="219" t="str">
        <f ca="1">IF(ISERROR($V2503),"",OFFSET('Smelter Look-up'!$I$4,$V2503-4,0))</f>
        <v/>
      </c>
      <c r="K2503" s="273"/>
      <c r="L2503" s="273"/>
      <c r="M2503" s="273"/>
      <c r="N2503" s="273"/>
      <c r="O2503" s="273"/>
      <c r="P2503" s="220"/>
      <c r="Q2503" s="274"/>
      <c r="R2503" s="217" t="str">
        <f ca="1">IF(ISERROR($V2503),"",OFFSET('Smelter Look-up'!$C$4,$V2503-4,0)&amp;"")</f>
        <v/>
      </c>
      <c r="S2503" s="225" t="str">
        <f t="shared" ca="1" si="354"/>
        <v/>
      </c>
      <c r="T2503" s="225" t="str">
        <f ca="1">IF(B2503="","",IF(ISERROR(MATCH($J2503,SorP!$B$1:$B$6230,0)),"",INDIRECT("'SorP'!$A$"&amp;MATCH($J2503,SorP!$B$1:$B$6230,0))))</f>
        <v/>
      </c>
      <c r="U2503" s="241"/>
      <c r="V2503" s="275" t="e">
        <f>IF(C2503="",NA(),MATCH($B2503&amp;$C2503,'Smelter Look-up'!$J:$J,0))</f>
        <v>#N/A</v>
      </c>
      <c r="W2503" s="276"/>
      <c r="X2503" s="276"/>
      <c r="Y2503" s="276"/>
      <c r="Z2503" s="276"/>
      <c r="AB2503" s="278"/>
    </row>
    <row r="2504" spans="1:28" s="277" customFormat="1" ht="20.25">
      <c r="A2504" s="216"/>
      <c r="B2504" s="217" t="str">
        <f>IF(LEN(A2504)=0,"",INDEX('Smelter Look-up'!$A:$A,MATCH($A2504,'Smelter Look-up'!$E:$E,0)))</f>
        <v/>
      </c>
      <c r="C2504" s="221" t="str">
        <f>IF(LEN(A2504)=0,"",INDEX('Smelter Look-up'!$C:$C,MATCH($A2504,'Smelter Look-up'!$E:$E,0)))</f>
        <v/>
      </c>
      <c r="D2504" s="283"/>
      <c r="E2504" s="217" t="str">
        <f ca="1">IF(ISERROR($V2504),"",OFFSET('Smelter Look-up'!$D$4,$V2504-4,0)&amp;"")</f>
        <v/>
      </c>
      <c r="F2504" s="217" t="str">
        <f ca="1">IF(ISERROR($V2504),"",OFFSET('Smelter Look-up'!$E$4,$V2504-4,0))</f>
        <v/>
      </c>
      <c r="G2504" s="217" t="str">
        <f ca="1">IF(C2504=$X$4,"Enter smelter details",IF(ISERROR($V2504),"",OFFSET('Smelter Look-up'!$F$4,$V2504-4,0)))</f>
        <v/>
      </c>
      <c r="H2504" s="218" t="str">
        <f ca="1">IF(ISERROR($V2504),"",OFFSET('Smelter Look-up'!$G$4,$V2504-4,0))</f>
        <v/>
      </c>
      <c r="I2504" s="219" t="str">
        <f ca="1">IF(ISERROR($V2504),"",OFFSET('Smelter Look-up'!$H$4,$V2504-4,0))</f>
        <v/>
      </c>
      <c r="J2504" s="219" t="str">
        <f ca="1">IF(ISERROR($V2504),"",OFFSET('Smelter Look-up'!$I$4,$V2504-4,0))</f>
        <v/>
      </c>
      <c r="K2504" s="273"/>
      <c r="L2504" s="273"/>
      <c r="M2504" s="273"/>
      <c r="N2504" s="273"/>
      <c r="O2504" s="273"/>
      <c r="P2504" s="220"/>
      <c r="Q2504" s="274"/>
      <c r="R2504" s="217" t="str">
        <f ca="1">IF(ISERROR($V2504),"",OFFSET('Smelter Look-up'!$C$4,$V2504-4,0)&amp;"")</f>
        <v/>
      </c>
      <c r="S2504" s="225" t="str">
        <f t="shared" ca="1" si="354"/>
        <v/>
      </c>
      <c r="T2504" s="225" t="str">
        <f ca="1">IF(B2504="","",IF(ISERROR(MATCH($J2504,SorP!$B$1:$B$6230,0)),"",INDIRECT("'SorP'!$A$"&amp;MATCH($J2504,SorP!$B$1:$B$6230,0))))</f>
        <v/>
      </c>
      <c r="U2504" s="241"/>
      <c r="V2504" s="275" t="e">
        <f>IF(C2504="",NA(),MATCH($B2504&amp;$C2504,'Smelter Look-up'!$J:$J,0))</f>
        <v>#N/A</v>
      </c>
      <c r="W2504" s="276"/>
      <c r="X2504" s="276">
        <f ca="1">IF(AND(C2504="Smelter not listed",OR(LEN(D2504)=0,LEN(E2504)=0)),1,0)</f>
        <v>0</v>
      </c>
      <c r="Y2504" s="276"/>
      <c r="Z2504" s="276"/>
      <c r="AB2504" s="278" t="str">
        <f>B2504&amp;C2504</f>
        <v/>
      </c>
    </row>
    <row r="2505" spans="1:28" ht="13.5" thickBot="1">
      <c r="A2505" s="297"/>
      <c r="B2505" s="279"/>
      <c r="C2505" s="279"/>
      <c r="D2505" s="280"/>
      <c r="E2505" s="280"/>
      <c r="F2505" s="280"/>
      <c r="G2505" s="280"/>
      <c r="H2505" s="280"/>
      <c r="I2505" s="280"/>
      <c r="J2505" s="280"/>
      <c r="K2505" s="280"/>
      <c r="L2505" s="280"/>
      <c r="M2505" s="280"/>
      <c r="N2505" s="280"/>
      <c r="O2505" s="280"/>
      <c r="P2505" s="280"/>
      <c r="Q2505" s="242"/>
      <c r="R2505" s="217"/>
      <c r="S2505" s="225" t="str">
        <f t="shared" ca="1" si="354"/>
        <v/>
      </c>
      <c r="T2505" s="225" t="str">
        <f ca="1">IF(B2505="","",IF(ISERROR(MATCH($J2505,SorP!$B$1:$B$6230,0)),"",INDIRECT("'SorP'!$A$"&amp;MATCH($J2505,SorP!$B$1:$B$6230,0))))</f>
        <v/>
      </c>
      <c r="AB2505" s="277" t="str">
        <f>B2505&amp;C2505</f>
        <v/>
      </c>
    </row>
    <row r="2506" spans="1:28" ht="13.5" thickTop="1">
      <c r="U2506" s="282"/>
      <c r="V2506" s="282"/>
      <c r="W2506" s="282"/>
      <c r="X2506" s="282"/>
      <c r="Y2506" s="282"/>
      <c r="Z2506" s="282"/>
    </row>
    <row r="2507" spans="1:28">
      <c r="U2507" s="282"/>
      <c r="V2507" s="282"/>
      <c r="W2507" s="282"/>
      <c r="X2507" s="282"/>
      <c r="Y2507" s="282"/>
      <c r="Z2507" s="282"/>
    </row>
    <row r="2508" spans="1:28" ht="13.5" thickBot="1">
      <c r="U2508" s="282"/>
      <c r="V2508" s="282"/>
      <c r="W2508" s="282"/>
      <c r="X2508" s="282"/>
      <c r="Y2508" s="282"/>
      <c r="Z2508" s="282"/>
    </row>
  </sheetData>
  <sheetProtection algorithmName="SHA-512" hashValue="z4ZR+NgJtpss0ZzLdDji4XDLqmBzpX45GdHfK4I7NBeZEGicyKocPURvh8gv/iJL4LSQk3FQ96mz9WwhoKP0QA==" saltValue="yAz3MnmgmYWwBwircTDSlg==" spinCount="100000" sheet="1" objects="1" scenarios="1" formatRows="0" deleteRows="0"/>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00000000-0000-0000-0000-000000000000}"/>
    </customSheetView>
  </customSheetViews>
  <mergeCells count="3">
    <mergeCell ref="J2:O2"/>
    <mergeCell ref="B3:E3"/>
    <mergeCell ref="G3:I3"/>
  </mergeCells>
  <conditionalFormatting sqref="B586:B2504">
    <cfRule type="expression" dxfId="71" priority="44" stopIfTrue="1">
      <formula>IF(B586="",TRUE)</formula>
    </cfRule>
    <cfRule type="expression" dxfId="70" priority="55" stopIfTrue="1">
      <formula>IF(AND(COUNTIF(MetalSmelter,B586&amp;C586)=0,LEN(C586)&gt;0),TRUE,FALSE)</formula>
    </cfRule>
  </conditionalFormatting>
  <conditionalFormatting sqref="D586:D2504">
    <cfRule type="expression" dxfId="69" priority="38" stopIfTrue="1">
      <formula>IF(AND(LEN($C586)&gt;0,($C586&lt;&gt;"Smelter Not Listed")),1,0)</formula>
    </cfRule>
    <cfRule type="expression" dxfId="68" priority="63" stopIfTrue="1">
      <formula>IF(AND(D586="",$C586=$X$4),TRUE)</formula>
    </cfRule>
    <cfRule type="expression" dxfId="67" priority="64" stopIfTrue="1">
      <formula>IF(FIND("!",D586),TRUE)</formula>
    </cfRule>
  </conditionalFormatting>
  <conditionalFormatting sqref="G586:G2504">
    <cfRule type="expression" dxfId="66" priority="65" stopIfTrue="1">
      <formula>IF(FIND("Enter smelter details",G586),TRUE)</formula>
    </cfRule>
  </conditionalFormatting>
  <conditionalFormatting sqref="R586:R2505 E586:E2504">
    <cfRule type="expression" dxfId="65" priority="51" stopIfTrue="1">
      <formula>IF(AND(E586="",$C586=$X$4),TRUE)</formula>
    </cfRule>
    <cfRule type="expression" dxfId="64" priority="52" stopIfTrue="1">
      <formula>IF(FIND("!",E586),TRUE)</formula>
    </cfRule>
  </conditionalFormatting>
  <conditionalFormatting sqref="F586:F2504">
    <cfRule type="expression" dxfId="63" priority="42" stopIfTrue="1">
      <formula>IF(AND(LEN($A586)&gt;0,$A586&lt;&gt;$F586),TRUE,FALSE)</formula>
    </cfRule>
  </conditionalFormatting>
  <conditionalFormatting sqref="C586:C2504">
    <cfRule type="expression" dxfId="62" priority="41" stopIfTrue="1">
      <formula>IF(AND(B586&lt;&gt;"",C586=""),TRUE)</formula>
    </cfRule>
  </conditionalFormatting>
  <conditionalFormatting sqref="B21:B585 B5:B19">
    <cfRule type="expression" dxfId="61" priority="20" stopIfTrue="1">
      <formula>IF(B5="",TRUE)</formula>
    </cfRule>
    <cfRule type="expression" dxfId="60" priority="23" stopIfTrue="1">
      <formula>IF(AND(COUNTIF(MetalSmelter,B5&amp;C5)=0,LEN(C5)&gt;0),TRUE,FALSE)</formula>
    </cfRule>
  </conditionalFormatting>
  <conditionalFormatting sqref="D5:D19 D21:D54 D56:D135 D137:D146 D148:D164 D166:D243 D245 D247:D585">
    <cfRule type="expression" dxfId="59" priority="17" stopIfTrue="1">
      <formula>IF(AND(LEN($C5)&gt;0,($C5&lt;&gt;"Smelter Not Listed")),1,0)</formula>
    </cfRule>
    <cfRule type="expression" dxfId="58" priority="24" stopIfTrue="1">
      <formula>IF(AND(D5="",$C5=$X$4),TRUE)</formula>
    </cfRule>
    <cfRule type="expression" dxfId="57" priority="25" stopIfTrue="1">
      <formula>IF(FIND("!",D5),TRUE)</formula>
    </cfRule>
  </conditionalFormatting>
  <conditionalFormatting sqref="G5:G19 G21:G585">
    <cfRule type="expression" dxfId="56" priority="26" stopIfTrue="1">
      <formula>IF(FIND("Enter smelter details",G5),TRUE)</formula>
    </cfRule>
  </conditionalFormatting>
  <conditionalFormatting sqref="R5:R585 E5:E19 E21:E585">
    <cfRule type="expression" dxfId="55" priority="21" stopIfTrue="1">
      <formula>IF(AND(E5="",$C5=$X$4),TRUE)</formula>
    </cfRule>
    <cfRule type="expression" dxfId="54" priority="22" stopIfTrue="1">
      <formula>IF(FIND("!",E5),TRUE)</formula>
    </cfRule>
  </conditionalFormatting>
  <conditionalFormatting sqref="F5:F19 F21:F585">
    <cfRule type="expression" dxfId="53" priority="19" stopIfTrue="1">
      <formula>IF(AND(LEN($A5)&gt;0,$A5&lt;&gt;$F5),TRUE,FALSE)</formula>
    </cfRule>
  </conditionalFormatting>
  <conditionalFormatting sqref="C5:C19 C21:C585">
    <cfRule type="expression" dxfId="52" priority="18" stopIfTrue="1">
      <formula>IF(AND(B5&lt;&gt;"",C5=""),TRUE)</formula>
    </cfRule>
  </conditionalFormatting>
  <conditionalFormatting sqref="B20">
    <cfRule type="expression" dxfId="51" priority="10" stopIfTrue="1">
      <formula>IF(B20="",TRUE)</formula>
    </cfRule>
    <cfRule type="expression" dxfId="50" priority="13" stopIfTrue="1">
      <formula>IF(AND(COUNTIF(MetalSmelter,B20&amp;C20)=0,LEN(C20)&gt;0),TRUE,FALSE)</formula>
    </cfRule>
  </conditionalFormatting>
  <conditionalFormatting sqref="D20">
    <cfRule type="expression" dxfId="49" priority="7" stopIfTrue="1">
      <formula>IF(AND(LEN($C20)&gt;0,($C20&lt;&gt;"Smelter Not Listed")),1,0)</formula>
    </cfRule>
    <cfRule type="expression" dxfId="48" priority="14" stopIfTrue="1">
      <formula>IF(AND(D20="",$C20=$X$4),TRUE)</formula>
    </cfRule>
    <cfRule type="expression" dxfId="47" priority="15" stopIfTrue="1">
      <formula>IF(FIND("!",D20),TRUE)</formula>
    </cfRule>
  </conditionalFormatting>
  <conditionalFormatting sqref="G20">
    <cfRule type="expression" dxfId="46" priority="16" stopIfTrue="1">
      <formula>IF(FIND("Enter smelter details",G20),TRUE)</formula>
    </cfRule>
  </conditionalFormatting>
  <conditionalFormatting sqref="E20">
    <cfRule type="expression" dxfId="45" priority="11" stopIfTrue="1">
      <formula>IF(AND(E20="",$C20=$X$4),TRUE)</formula>
    </cfRule>
    <cfRule type="expression" dxfId="44" priority="12" stopIfTrue="1">
      <formula>IF(FIND("!",E20),TRUE)</formula>
    </cfRule>
  </conditionalFormatting>
  <conditionalFormatting sqref="F20">
    <cfRule type="expression" dxfId="43" priority="9" stopIfTrue="1">
      <formula>IF(AND(LEN($A20)&gt;0,$A20&lt;&gt;$F20),TRUE,FALSE)</formula>
    </cfRule>
  </conditionalFormatting>
  <conditionalFormatting sqref="C20">
    <cfRule type="expression" dxfId="42" priority="8" stopIfTrue="1">
      <formula>IF(AND(B20&lt;&gt;"",C20=""),TRUE)</formula>
    </cfRule>
  </conditionalFormatting>
  <conditionalFormatting sqref="D55">
    <cfRule type="expression" dxfId="41" priority="6" stopIfTrue="1">
      <formula>IF(AND(C55&lt;&gt;"",D55=""),TRUE)</formula>
    </cfRule>
  </conditionalFormatting>
  <conditionalFormatting sqref="D136">
    <cfRule type="expression" dxfId="40" priority="5" stopIfTrue="1">
      <formula>IF(AND(C136&lt;&gt;"",D136=""),TRUE)</formula>
    </cfRule>
  </conditionalFormatting>
  <conditionalFormatting sqref="D147">
    <cfRule type="expression" dxfId="39" priority="4" stopIfTrue="1">
      <formula>IF(AND(C147&lt;&gt;"",D147=""),TRUE)</formula>
    </cfRule>
  </conditionalFormatting>
  <conditionalFormatting sqref="D165">
    <cfRule type="expression" dxfId="38" priority="3" stopIfTrue="1">
      <formula>IF(AND(C165&lt;&gt;"",D165=""),TRUE)</formula>
    </cfRule>
  </conditionalFormatting>
  <conditionalFormatting sqref="D244">
    <cfRule type="expression" dxfId="37" priority="2" stopIfTrue="1">
      <formula>IF(AND(C244&lt;&gt;"",D244=""),TRUE)</formula>
    </cfRule>
  </conditionalFormatting>
  <conditionalFormatting sqref="D246">
    <cfRule type="expression" dxfId="36" priority="1" stopIfTrue="1">
      <formula>IF(AND(C246&lt;&gt;"",D246=""),TRUE)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N73"/>
  <sheetViews>
    <sheetView showGridLines="0" showZeros="0" zoomScalePageLayoutView="70" workbookViewId="0">
      <pane xSplit="1" ySplit="3" topLeftCell="B16" activePane="bottomRight" state="frozen"/>
      <selection activeCell="A4" sqref="A4"/>
      <selection pane="topRight" activeCell="A4" sqref="A4"/>
      <selection pane="bottomLeft" activeCell="A4" sqref="A4"/>
      <selection pane="bottomRight" activeCell="A18" sqref="A18"/>
    </sheetView>
  </sheetViews>
  <sheetFormatPr defaultColWidth="8.875" defaultRowHeight="12.75"/>
  <cols>
    <col min="1" max="1" width="45.125" style="22" customWidth="1"/>
    <col min="2" max="2" width="42.875" style="25" customWidth="1"/>
    <col min="3" max="3" width="51.625" style="22" customWidth="1"/>
    <col min="4" max="4" width="29.125" style="25" customWidth="1"/>
    <col min="5" max="5" width="9" style="24" hidden="1" customWidth="1"/>
    <col min="6" max="6" width="13.625" style="22" hidden="1" customWidth="1"/>
    <col min="7" max="7" width="13.375" style="22" hidden="1" customWidth="1"/>
    <col min="8" max="8" width="9" style="22" hidden="1" customWidth="1"/>
    <col min="9" max="9" width="9" style="178" hidden="1" customWidth="1"/>
    <col min="10" max="10" width="48.875" style="22" hidden="1" customWidth="1"/>
    <col min="11" max="11" width="9" style="22" hidden="1" customWidth="1"/>
    <col min="12" max="14" width="8.875" style="22" hidden="1" customWidth="1"/>
    <col min="15" max="18" width="8.875" style="22" customWidth="1"/>
    <col min="19" max="16384" width="8.875" style="22"/>
  </cols>
  <sheetData>
    <row r="1" spans="1:10" ht="30">
      <c r="A1" s="435" t="str">
        <f ca="1">OFFSET(L!$C$1,MATCH("Checker"&amp;ADDRESS(ROW(),COLUMN(),4),L!$A:$A,0)-1,SL,,)</f>
        <v>To ensure all required fields have been populated before submitting to your customers review form for any line items highlighted in red</v>
      </c>
      <c r="B1" s="435"/>
      <c r="C1" s="435"/>
      <c r="D1" s="146" t="str">
        <f ca="1">OFFSET(L!$C$1,MATCH("Checker"&amp;ADDRESS(ROW(),COLUMN(),4),L!$A:$A,0)-1,SL,,)</f>
        <v>Required fields remaining to be completed</v>
      </c>
      <c r="E1" s="84" t="s">
        <v>827</v>
      </c>
    </row>
    <row r="2" spans="1:10" ht="15">
      <c r="A2" s="77" t="s">
        <v>921</v>
      </c>
      <c r="B2" s="78" t="str">
        <f>IF(F65=1,"Click here to return to Smelter List","")</f>
        <v>Click here to return to Smelter List</v>
      </c>
      <c r="C2" s="150" t="str">
        <f>IF(F65=1,"Click here to return to Product List","")</f>
        <v>Click here to return to Product List</v>
      </c>
      <c r="D2" s="183">
        <f ca="1">IF(H70=0,"0",H70)</f>
        <v>1</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39">
      <c r="A4" s="103" t="str">
        <f ca="1">Declaration!B8</f>
        <v>Company Name (*):</v>
      </c>
      <c r="B4" s="102" t="str">
        <f>Declaration!D8</f>
        <v>Carestream Health</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39">
      <c r="A6" s="103" t="str">
        <f ca="1">Declaration!B10</f>
        <v>Description of Scope:</v>
      </c>
      <c r="B6" s="102">
        <f>Declaration!D10</f>
        <v>0</v>
      </c>
      <c r="C6" s="102" t="str">
        <f ca="1">IF(H6=1,J6,I6)</f>
        <v>Complete</v>
      </c>
      <c r="D6" s="108" t="str">
        <f>IF(H6=1,"Click here to provide a Description of Scope","")</f>
        <v/>
      </c>
      <c r="E6" s="84" t="s">
        <v>1330</v>
      </c>
      <c r="F6" s="107">
        <f>IF(OR(B5=Declaration!P9,B5=Declaration!Q9,B5=0),0,1)</f>
        <v>0</v>
      </c>
      <c r="G6" s="81">
        <f>IF(B6=0,1,0)</f>
        <v>1</v>
      </c>
      <c r="H6" s="82">
        <f t="shared" ref="H6:H17" si="3">F6*G6</f>
        <v>0</v>
      </c>
      <c r="I6" s="179"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Carestream Health</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 xml:space="preserve">emeaehs@carestream.com </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(US)  +1-888-777-2072</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Herman Lee Baker Jr.</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 xml:space="preserve">emeaehs@carestream.com </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44134</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3.75">
      <c r="A13" s="102" t="str">
        <f ca="1">Declaration!B25</f>
        <v>1) Is any 3TG intentionally added or used in the product(s) or in the production process? (*)</v>
      </c>
      <c r="B13" s="105"/>
      <c r="C13" s="105"/>
      <c r="D13" s="109"/>
      <c r="E13" s="84" t="s">
        <v>831</v>
      </c>
      <c r="F13" s="106"/>
      <c r="G13" s="24"/>
      <c r="H13" s="83">
        <f t="shared" si="3"/>
        <v>0</v>
      </c>
    </row>
    <row r="14" spans="1:10" ht="26.25">
      <c r="A14" s="103" t="str">
        <f ca="1">Declaration!B26</f>
        <v>Tantalum  (*)</v>
      </c>
      <c r="B14" s="102" t="str">
        <f>Declaration!D26</f>
        <v>Yes</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39">
      <c r="A17" s="103" t="str">
        <f ca="1">Declaration!B29</f>
        <v>Tungsten  (*)</v>
      </c>
      <c r="B17" s="102" t="str">
        <f>Declaration!D29</f>
        <v>Yes</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1">
      <c r="A18" s="102" t="str">
        <f ca="1">Declaration!B31</f>
        <v>2) Does any 3TG remain in the product(s)? (*)</v>
      </c>
      <c r="B18" s="105"/>
      <c r="C18" s="105"/>
      <c r="D18" s="109"/>
      <c r="E18" s="84" t="s">
        <v>829</v>
      </c>
      <c r="F18" s="106"/>
      <c r="G18" s="24"/>
      <c r="H18" s="24"/>
      <c r="J18" s="180"/>
    </row>
    <row r="19" spans="1:10" ht="39">
      <c r="A19" s="103" t="str">
        <f ca="1">Declaration!B32</f>
        <v>Tantalum  (*)</v>
      </c>
      <c r="B19" s="102" t="str">
        <f>IF($B$14="Yes",Declaration!D32,0)</f>
        <v>Yes</v>
      </c>
      <c r="C19" s="102" t="str">
        <f ca="1">IF(H19=1,J19,I19)</f>
        <v>Complete</v>
      </c>
      <c r="D19" s="110" t="str">
        <f>IF(H19=1,"Click here to answer question 2 for Tantalum","")</f>
        <v/>
      </c>
      <c r="E19" s="84" t="s">
        <v>828</v>
      </c>
      <c r="F19" s="107">
        <f>IF(B$14="No",0,1)</f>
        <v>1</v>
      </c>
      <c r="G19" s="81">
        <f>IF(B19=0,1,0)</f>
        <v>0</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828</v>
      </c>
      <c r="F20" s="107">
        <f>IF(B$15="No",0,1)</f>
        <v>1</v>
      </c>
      <c r="G20" s="81">
        <f>IF(B20=0,1,0)</f>
        <v>0</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828</v>
      </c>
      <c r="F21" s="107">
        <f>IF(B$16="No",0,1)</f>
        <v>1</v>
      </c>
      <c r="G21" s="81">
        <f>IF(B21=0,1,0)</f>
        <v>0</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39">
      <c r="A22" s="103" t="str">
        <f ca="1">Declaration!B35</f>
        <v>Tungsten  (*)</v>
      </c>
      <c r="B22" s="102" t="str">
        <f>IF($B$17="Yes",Declaration!D35,0)</f>
        <v>Yes</v>
      </c>
      <c r="C22" s="102" t="str">
        <f ca="1">IF(H22=1,J22,I22)</f>
        <v>Complete</v>
      </c>
      <c r="D22" s="110" t="str">
        <f>IF(H22=1,"Click here to answer question 2 for Tungsten","")</f>
        <v/>
      </c>
      <c r="E22" s="84" t="s">
        <v>828</v>
      </c>
      <c r="F22" s="107">
        <f>IF(B$17="No",0,1)</f>
        <v>1</v>
      </c>
      <c r="G22" s="81">
        <f>IF(B22=0,1,0)</f>
        <v>0</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39">
      <c r="A24" s="103" t="str">
        <f ca="1">Declaration!B38</f>
        <v>Tantalum  (*)</v>
      </c>
      <c r="B24" s="102" t="str">
        <f>IF(AND($B$14="Yes",$B$19="Yes"),Declaration!D38,0)</f>
        <v>Unknown</v>
      </c>
      <c r="C24" s="102" t="str">
        <f ca="1">IF(H24=1,J24,I24)</f>
        <v>Complete</v>
      </c>
      <c r="D24" s="110" t="str">
        <f>IF(H24=1,"Click here to answer question 3 for Tantalum","")</f>
        <v/>
      </c>
      <c r="E24" s="84" t="s">
        <v>828</v>
      </c>
      <c r="F24" s="107">
        <f>IF(OR(B14="No",B19="No"),0,1)</f>
        <v>1</v>
      </c>
      <c r="G24" s="81">
        <f t="shared" ref="G24" si="6">IF(B24=0,1,0)</f>
        <v>0</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Unknown</v>
      </c>
      <c r="C25" s="102" t="str">
        <f ca="1">IF(H25=1,J25,I25)</f>
        <v>Complete</v>
      </c>
      <c r="D25" s="110" t="str">
        <f>IF(H25=1,"Click here to answer question 3 for Tin","")</f>
        <v/>
      </c>
      <c r="E25" s="84" t="s">
        <v>828</v>
      </c>
      <c r="F25" s="107">
        <f>IF(OR(B15="No",B20="No"),0,1)</f>
        <v>1</v>
      </c>
      <c r="G25" s="81">
        <f>IF(B25=0,1,0)</f>
        <v>0</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Unknown</v>
      </c>
      <c r="C26" s="102" t="str">
        <f ca="1">IF(H26=1,J26,I26)</f>
        <v>Complete</v>
      </c>
      <c r="D26" s="110" t="str">
        <f>IF(H26=1,"Click here to answer question 3 for Gold","")</f>
        <v/>
      </c>
      <c r="E26" s="84" t="s">
        <v>828</v>
      </c>
      <c r="F26" s="107">
        <f>IF(OR(B16="No",B21="No"),0,1)</f>
        <v>1</v>
      </c>
      <c r="G26" s="81">
        <f>IF(B26=0,1,0)</f>
        <v>0</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Tungsten  (*)</v>
      </c>
      <c r="B27" s="102" t="str">
        <f>IF(AND($B$17="Yes",$B$22="Yes"),Declaration!D41,0)</f>
        <v>Unknown</v>
      </c>
      <c r="C27" s="102" t="str">
        <f ca="1">IF(H27=1,J27,I27)</f>
        <v>Complete</v>
      </c>
      <c r="D27" s="110" t="str">
        <f>IF(H27=1,"Click here to answer question 3 for Tungsten","")</f>
        <v/>
      </c>
      <c r="E27" s="84" t="s">
        <v>828</v>
      </c>
      <c r="F27" s="107">
        <f>IF(OR(B17="No",B22="No"),0,1)</f>
        <v>1</v>
      </c>
      <c r="G27" s="81">
        <f>IF(B27=0,1,0)</f>
        <v>0</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75" customHeight="1">
      <c r="A28" s="102" t="str">
        <f ca="1">Declaration!B43</f>
        <v>4) Do any of the smelters in your supply chain source the 3TG from conflict-affected and high-risk areas? (*)</v>
      </c>
      <c r="B28" s="102"/>
      <c r="C28" s="102"/>
      <c r="D28" s="110"/>
      <c r="E28" s="84"/>
      <c r="F28" s="84"/>
      <c r="G28" s="84"/>
      <c r="H28" s="24"/>
      <c r="I28" s="179"/>
    </row>
    <row r="29" spans="1:10" ht="41.25" customHeight="1">
      <c r="A29" s="103" t="str">
        <f ca="1">Declaration!B44</f>
        <v>Tantalum  (*)</v>
      </c>
      <c r="B29" s="102" t="str">
        <f>IF(AND($B$14="Yes",$B$19="Yes"),Declaration!D44,0)</f>
        <v>Unknown</v>
      </c>
      <c r="C29" s="102" t="str">
        <f ca="1">IF(H29=1,J29,I29)</f>
        <v>Complete</v>
      </c>
      <c r="D29" s="330" t="str">
        <f>IF(H29=1,"Click here to answer question 4 for Tantalum","")</f>
        <v/>
      </c>
      <c r="E29" s="84"/>
      <c r="F29" s="107">
        <f>F24</f>
        <v>1</v>
      </c>
      <c r="G29" s="81">
        <f t="shared" ref="G29" si="8">IF(B29=0,1,0)</f>
        <v>0</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25" customHeight="1">
      <c r="A30" s="103" t="str">
        <f ca="1">Declaration!B45</f>
        <v>Tin  (*)</v>
      </c>
      <c r="B30" s="102" t="str">
        <f>IF(AND($B$15="Yes",$B$20="Yes"),Declaration!D45,0)</f>
        <v>Unknown</v>
      </c>
      <c r="C30" s="102" t="str">
        <f ca="1">IF(H30=1,J30,I30)</f>
        <v>Complete</v>
      </c>
      <c r="D30" s="330" t="str">
        <f>IF(H30=1,"Click here to answer question 4 for Tin","")</f>
        <v/>
      </c>
      <c r="E30" s="84"/>
      <c r="F30" s="107">
        <f>F25</f>
        <v>1</v>
      </c>
      <c r="G30" s="81">
        <f>IF(B30=0,1,0)</f>
        <v>0</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25" customHeight="1">
      <c r="A31" s="103" t="str">
        <f ca="1">Declaration!B46</f>
        <v>Gold  (*)</v>
      </c>
      <c r="B31" s="102" t="str">
        <f>IF(AND($B$16="Yes",$B$21="Yes"),Declaration!D46,0)</f>
        <v>Unknown</v>
      </c>
      <c r="C31" s="102" t="str">
        <f ca="1">IF(H31=1,J31,I31)</f>
        <v>Complete</v>
      </c>
      <c r="D31" s="330" t="str">
        <f>IF(H31=1,"Click here to answer question 4 for Gold","")</f>
        <v/>
      </c>
      <c r="E31" s="84"/>
      <c r="F31" s="107">
        <f>F26</f>
        <v>1</v>
      </c>
      <c r="G31" s="81">
        <f>IF(B31=0,1,0)</f>
        <v>0</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25" customHeight="1">
      <c r="A32" s="103" t="str">
        <f ca="1">Declaration!B47</f>
        <v>Tungsten  (*)</v>
      </c>
      <c r="B32" s="102" t="str">
        <f>IF(AND($B$17="Yes",$B$22="Yes"),Declaration!D47,0)</f>
        <v>Unknown</v>
      </c>
      <c r="C32" s="102" t="str">
        <f ca="1">IF(H32=1,J32,I32)</f>
        <v>Complete</v>
      </c>
      <c r="D32" s="330" t="str">
        <f>IF(H32=1,"Click here to answer question 4 for Tungsten","")</f>
        <v/>
      </c>
      <c r="E32" s="84"/>
      <c r="F32" s="107">
        <f>F27</f>
        <v>1</v>
      </c>
      <c r="G32" s="81">
        <f>IF(B32=0,1,0)</f>
        <v>0</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8.25">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39">
      <c r="A34" s="103" t="str">
        <f ca="1">Declaration!B50</f>
        <v>Tantalum  (*)</v>
      </c>
      <c r="B34" s="102" t="str">
        <f>IF(AND($B$14="Yes",$B$19="Yes"),Declaration!D50,0)</f>
        <v>No</v>
      </c>
      <c r="C34" s="102" t="str">
        <f ca="1">IF(H34=1,J34,I34)</f>
        <v>Complete</v>
      </c>
      <c r="D34" s="330" t="str">
        <f>IF(H34=1,"Click here to answer question 5 for Tantalum","")</f>
        <v/>
      </c>
      <c r="E34" s="84" t="s">
        <v>1330</v>
      </c>
      <c r="F34" s="107">
        <f>F24</f>
        <v>1</v>
      </c>
      <c r="G34" s="81">
        <f>IF(B34=0,1,0)</f>
        <v>0</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No</v>
      </c>
      <c r="C35" s="102" t="str">
        <f ca="1">IF(H35=1,J35,I35)</f>
        <v>Complete</v>
      </c>
      <c r="D35" s="330" t="str">
        <f>IF(H35=1,"Click here to answer question 5 for Tin","")</f>
        <v/>
      </c>
      <c r="E35" s="84" t="s">
        <v>1330</v>
      </c>
      <c r="F35" s="107">
        <f>F25</f>
        <v>1</v>
      </c>
      <c r="G35" s="81">
        <f>IF(B35=0,1,0)</f>
        <v>0</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No</v>
      </c>
      <c r="C36" s="102" t="str">
        <f ca="1">IF(H36=1,J36,I36)</f>
        <v>Complete</v>
      </c>
      <c r="D36" s="330" t="str">
        <f>IF(H36=1,"Click here to answer question 5 for Gold","")</f>
        <v/>
      </c>
      <c r="E36" s="84" t="s">
        <v>1330</v>
      </c>
      <c r="F36" s="107">
        <f>F26</f>
        <v>1</v>
      </c>
      <c r="G36" s="81">
        <f>IF(B36=0,1,0)</f>
        <v>0</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Tungsten  (*)</v>
      </c>
      <c r="B37" s="102" t="str">
        <f>IF(AND($B$17="Yes",$B$22="Yes"),Declaration!D53,0)</f>
        <v>No</v>
      </c>
      <c r="C37" s="102" t="str">
        <f ca="1">IF(H37=1,J37,I37)</f>
        <v>Complete</v>
      </c>
      <c r="D37" s="330" t="str">
        <f>IF(H37=1,"Click here to answer question 5 for Tungsten","")</f>
        <v/>
      </c>
      <c r="E37" s="84" t="s">
        <v>1330</v>
      </c>
      <c r="F37" s="107">
        <f>F27</f>
        <v>1</v>
      </c>
      <c r="G37" s="81">
        <f>IF(B37=0,1,0)</f>
        <v>0</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38.25">
      <c r="A38" s="102" t="str">
        <f ca="1">Declaration!B55</f>
        <v>6) What percentage of relevant suppliers have provided a response to your supply chain survey?  (*)</v>
      </c>
      <c r="B38" s="105"/>
      <c r="C38" s="105"/>
      <c r="D38" s="109"/>
      <c r="E38" s="84" t="s">
        <v>828</v>
      </c>
      <c r="F38" s="106"/>
      <c r="G38" s="24"/>
      <c r="H38" s="24"/>
    </row>
    <row r="39" spans="1:10" ht="26.25">
      <c r="A39" s="103" t="str">
        <f ca="1">Declaration!B56</f>
        <v>Tantalum  (*)</v>
      </c>
      <c r="B39" s="299" t="str">
        <f>IF(AND($B$14="Yes",$B$19="Yes"),Declaration!D56,0)</f>
        <v>Greater than 75%</v>
      </c>
      <c r="C39" s="102" t="str">
        <f ca="1">IF(H39=1,J39,I39)</f>
        <v>Complete</v>
      </c>
      <c r="D39" s="331" t="str">
        <f>IF(H39=1,"Click here to answer question 6 for Tantalum","")</f>
        <v/>
      </c>
      <c r="E39" s="84" t="s">
        <v>827</v>
      </c>
      <c r="F39" s="107">
        <f>F24</f>
        <v>1</v>
      </c>
      <c r="G39" s="81">
        <f>IF(B39=0,1,0)</f>
        <v>0</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6.25">
      <c r="A40" s="103" t="str">
        <f ca="1">Declaration!B57</f>
        <v>Tin  (*)</v>
      </c>
      <c r="B40" s="299" t="str">
        <f>IF(AND($B$15="Yes",$B$20="Yes"),Declaration!D57,0)</f>
        <v>Greater than 75%</v>
      </c>
      <c r="C40" s="102" t="str">
        <f ca="1">IF(H40=1,J40,I40)</f>
        <v>Complete</v>
      </c>
      <c r="D40" s="331" t="str">
        <f>IF(H40=1,"Click here to answer question 6 for Tin","")</f>
        <v/>
      </c>
      <c r="E40" s="84" t="s">
        <v>827</v>
      </c>
      <c r="F40" s="107">
        <f>F25</f>
        <v>1</v>
      </c>
      <c r="G40" s="81">
        <f>IF(B40=0,1,0)</f>
        <v>0</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6.25">
      <c r="A41" s="103" t="str">
        <f ca="1">Declaration!B58</f>
        <v>Gold  (*)</v>
      </c>
      <c r="B41" s="299" t="str">
        <f>IF(AND($B$16="Yes",$B$21="Yes"),Declaration!D58,0)</f>
        <v>Greater than 75%</v>
      </c>
      <c r="C41" s="102" t="str">
        <f ca="1">IF(H41=1,J41,I41)</f>
        <v>Complete</v>
      </c>
      <c r="D41" s="331" t="str">
        <f>IF(H41=1,"Click here to answer question 6 for Gold","")</f>
        <v/>
      </c>
      <c r="E41" s="84" t="s">
        <v>827</v>
      </c>
      <c r="F41" s="107">
        <f>F26</f>
        <v>1</v>
      </c>
      <c r="G41" s="81">
        <f>IF(B41=0,1,0)</f>
        <v>0</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6.25">
      <c r="A42" s="103" t="str">
        <f ca="1">Declaration!B59</f>
        <v>Tungsten  (*)</v>
      </c>
      <c r="B42" s="299" t="str">
        <f>IF(AND($B$17="Yes",$B$22="Yes"),Declaration!D59,0)</f>
        <v>Greater than 75%</v>
      </c>
      <c r="C42" s="102" t="str">
        <f ca="1">IF(H42=1,J42,I42)</f>
        <v>Complete</v>
      </c>
      <c r="D42" s="331" t="str">
        <f>IF(H42=1,"Click here to answer question 6 for Tungsten","")</f>
        <v/>
      </c>
      <c r="E42" s="84" t="s">
        <v>827</v>
      </c>
      <c r="F42" s="107">
        <f>F27</f>
        <v>1</v>
      </c>
      <c r="G42" s="81">
        <f>IF(B42=0,1,0)</f>
        <v>0</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1">
      <c r="A43" s="102" t="str">
        <f ca="1">Declaration!B61</f>
        <v>7) Have you identified all of the smelters supplying the 3TG to your supply chain?  (*)</v>
      </c>
      <c r="B43" s="105"/>
      <c r="C43" s="105"/>
      <c r="D43" s="109"/>
      <c r="E43" s="84" t="s">
        <v>829</v>
      </c>
      <c r="F43" s="106"/>
      <c r="G43" s="24"/>
      <c r="H43" s="24"/>
    </row>
    <row r="44" spans="1:10" ht="51.75">
      <c r="A44" s="103" t="str">
        <f ca="1">Declaration!B62</f>
        <v>Tantalum  (*)</v>
      </c>
      <c r="B44" s="102" t="str">
        <f>IF(AND($B$14="Yes",$B$19="Yes"),Declaration!D62,0)</f>
        <v>No</v>
      </c>
      <c r="C44" s="102" t="str">
        <f ca="1">IF(H44=1,J44,I44)</f>
        <v>Complete</v>
      </c>
      <c r="D44" s="330" t="str">
        <f>IF(H44=1,"Click here to answer question 7 for Tantalum","")</f>
        <v/>
      </c>
      <c r="E44" s="84" t="s">
        <v>1326</v>
      </c>
      <c r="F44" s="107">
        <f>F24</f>
        <v>1</v>
      </c>
      <c r="G44" s="81">
        <f>IF(B44=0,1,0)</f>
        <v>0</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75">
      <c r="A45" s="103" t="str">
        <f ca="1">Declaration!B63</f>
        <v>Tin  (*)</v>
      </c>
      <c r="B45" s="102" t="str">
        <f>IF(AND($B$15="Yes",$B$20="Yes"),Declaration!D63,0)</f>
        <v>No</v>
      </c>
      <c r="C45" s="102" t="str">
        <f ca="1">IF(H45=1,J45,I45)</f>
        <v>Complete</v>
      </c>
      <c r="D45" s="330" t="str">
        <f>IF(H45=1,"Click here to answer question 7 for Tin","")</f>
        <v/>
      </c>
      <c r="E45" s="84" t="s">
        <v>1326</v>
      </c>
      <c r="F45" s="107">
        <f>F25</f>
        <v>1</v>
      </c>
      <c r="G45" s="81">
        <f>IF(B45=0,1,0)</f>
        <v>0</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75">
      <c r="A46" s="103" t="str">
        <f ca="1">Declaration!B64</f>
        <v>Gold  (*)</v>
      </c>
      <c r="B46" s="102" t="str">
        <f>IF(AND($B$16="Yes",$B$21="Yes"),Declaration!D64,0)</f>
        <v>No</v>
      </c>
      <c r="C46" s="102" t="str">
        <f ca="1">IF(H46=1,J46,I46)</f>
        <v>Complete</v>
      </c>
      <c r="D46" s="330" t="str">
        <f>IF(H46=1,"Click here to answer question 7 for Gold","")</f>
        <v/>
      </c>
      <c r="E46" s="84" t="s">
        <v>1326</v>
      </c>
      <c r="F46" s="107">
        <f>F26</f>
        <v>1</v>
      </c>
      <c r="G46" s="81">
        <f>IF(B46=0,1,0)</f>
        <v>0</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75">
      <c r="A47" s="103" t="str">
        <f ca="1">Declaration!B65</f>
        <v>Tungsten  (*)</v>
      </c>
      <c r="B47" s="102" t="str">
        <f>IF(AND($B$17="Yes",$B$22="Yes"),Declaration!D65,0)</f>
        <v>No</v>
      </c>
      <c r="C47" s="102" t="str">
        <f ca="1">IF(H47=1,J47,I47)</f>
        <v>Complete</v>
      </c>
      <c r="D47" s="330" t="str">
        <f>IF(H47=1,"Click here to answer question 7 for Tungsten","")</f>
        <v/>
      </c>
      <c r="E47" s="84" t="s">
        <v>1326</v>
      </c>
      <c r="F47" s="107">
        <f>F27</f>
        <v>1</v>
      </c>
      <c r="G47" s="81">
        <f>IF(B47=0,1,0)</f>
        <v>0</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75">
      <c r="A48" s="102" t="str">
        <f ca="1">Declaration!B67</f>
        <v>8) Has all applicable smelter information received by your company been reported in this declaration?  (*)</v>
      </c>
      <c r="B48" s="105"/>
      <c r="C48" s="105"/>
      <c r="D48" s="109"/>
      <c r="E48" s="84" t="s">
        <v>830</v>
      </c>
      <c r="F48" s="106"/>
      <c r="G48" s="24"/>
      <c r="H48" s="24"/>
    </row>
    <row r="49" spans="1:10" ht="39">
      <c r="A49" s="103" t="str">
        <f ca="1">Declaration!B68</f>
        <v>Tantalum  (*)</v>
      </c>
      <c r="B49" s="102" t="str">
        <f>IF(AND($B$14="Yes",$B$19="Yes"),Declaration!D68,0)</f>
        <v>Yes</v>
      </c>
      <c r="C49" s="102" t="str">
        <f ca="1">IF(H49=1,J49,I49)</f>
        <v>Complete</v>
      </c>
      <c r="D49" s="331" t="str">
        <f>IF(H49=1,"Click here to answer question 8 for Tantalum","")</f>
        <v/>
      </c>
      <c r="E49" s="84" t="s">
        <v>828</v>
      </c>
      <c r="F49" s="107">
        <f>F24</f>
        <v>1</v>
      </c>
      <c r="G49" s="81">
        <f>IF(B49=0,1,0)</f>
        <v>0</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31" t="str">
        <f>IF(H50=1,"Click here to answer question 8 for Tin","")</f>
        <v/>
      </c>
      <c r="E50" s="84" t="s">
        <v>828</v>
      </c>
      <c r="F50" s="107">
        <f>F25</f>
        <v>1</v>
      </c>
      <c r="G50" s="81">
        <f>IF(B50=0,1,0)</f>
        <v>0</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31" t="str">
        <f>IF(H51=1,"Click here to answer question 8 for Gold","")</f>
        <v/>
      </c>
      <c r="E51" s="84" t="s">
        <v>828</v>
      </c>
      <c r="F51" s="107">
        <f>F26</f>
        <v>1</v>
      </c>
      <c r="G51" s="81">
        <f>IF(B51=0,1,0)</f>
        <v>0</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Tungsten  (*)</v>
      </c>
      <c r="B52" s="102" t="str">
        <f>IF(AND($B$17="Yes",$B$22="Yes"),Declaration!D71,0)</f>
        <v>Yes</v>
      </c>
      <c r="C52" s="102" t="str">
        <f ca="1">IF(H52=1,J52,I52)</f>
        <v>Complete</v>
      </c>
      <c r="D52" s="331" t="str">
        <f>IF(H52=1,"Click here to answer question 8 for Tungsten","")</f>
        <v/>
      </c>
      <c r="E52" s="84" t="s">
        <v>828</v>
      </c>
      <c r="F52" s="107">
        <f>F27</f>
        <v>1</v>
      </c>
      <c r="G52" s="81">
        <f>IF(B52=0,1,0)</f>
        <v>0</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5.5">
      <c r="A53" s="102" t="str">
        <f ca="1">Declaration!B74</f>
        <v>Question</v>
      </c>
      <c r="B53" s="105"/>
      <c r="C53" s="105"/>
      <c r="D53" s="109"/>
      <c r="E53" s="84" t="s">
        <v>451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1330</v>
      </c>
      <c r="F54" s="107">
        <f>IF(SUM(F$24:F$27)=0,0,1)</f>
        <v>1</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Yes</v>
      </c>
      <c r="C55" s="102" t="str">
        <f t="shared" ca="1" si="10"/>
        <v>Complete</v>
      </c>
      <c r="D55" s="108" t="str">
        <f>IF(H55=1,"Click here to answer question (B)","")</f>
        <v/>
      </c>
      <c r="E55" s="84" t="s">
        <v>1330</v>
      </c>
      <c r="F55" s="107">
        <f t="shared" ref="F55" si="12">F$54</f>
        <v>1</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450000000000003" customHeight="1">
      <c r="A56" s="102" t="s">
        <v>6</v>
      </c>
      <c r="B56" s="102">
        <f>Declaration!G77</f>
        <v>0</v>
      </c>
      <c r="C56" s="102" t="str">
        <f t="shared" ca="1" si="10"/>
        <v>Enter the URL in Declaration worksheet cell G77 if you answer "Yes" for question B. The format of the URL should be "www.companyname.com"</v>
      </c>
      <c r="D56" s="108" t="str">
        <f>IF(H56=1,"Click here to specify URL for question (B)","")</f>
        <v>Click here to specify URL for question (B)</v>
      </c>
      <c r="E56" s="84"/>
      <c r="F56" s="107">
        <f>IF(AND(F55=1,B55="Yes"),1,0)</f>
        <v>1</v>
      </c>
      <c r="G56" s="81">
        <f>IF(LEN(B56)&gt;1,0,1)</f>
        <v>1</v>
      </c>
      <c r="H56" s="82">
        <f t="shared" si="11"/>
        <v>1</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63.75">
      <c r="A57" s="102" t="str">
        <f ca="1">Declaration!B79</f>
        <v>C. Do you require your direct suppliers to source the 3TG from smelters whose due diligence practices have been validated by an independent third party audit program? (*)</v>
      </c>
      <c r="B57" s="102" t="str">
        <f>Declaration!D79</f>
        <v>Yes</v>
      </c>
      <c r="C57" s="102" t="str">
        <f t="shared" ca="1" si="10"/>
        <v>Complete</v>
      </c>
      <c r="D57" s="108" t="str">
        <f>IF(H57=1,"Click here to answer question (C)","")</f>
        <v/>
      </c>
      <c r="E57" s="84" t="s">
        <v>1330</v>
      </c>
      <c r="F57" s="107">
        <f>F$54</f>
        <v>1</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1330</v>
      </c>
      <c r="F58" s="107">
        <f>F$54</f>
        <v>1</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1330</v>
      </c>
      <c r="F59" s="107">
        <f>F$54</f>
        <v>1</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1330</v>
      </c>
      <c r="F60" s="107">
        <f>F$54</f>
        <v>1</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5" hidden="1">
      <c r="A61" s="102"/>
      <c r="B61" s="102"/>
      <c r="C61" s="102"/>
      <c r="D61" s="108"/>
      <c r="E61" s="84"/>
      <c r="F61" s="107"/>
      <c r="G61" s="81"/>
      <c r="H61" s="82"/>
      <c r="I61" s="179"/>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1330</v>
      </c>
      <c r="F62" s="107">
        <f>F$54</f>
        <v>1</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1330</v>
      </c>
      <c r="F63" s="107">
        <f>F$54</f>
        <v>1</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14428</v>
      </c>
      <c r="B65" s="102"/>
      <c r="C65" s="102" t="str">
        <f t="shared" ca="1" si="13"/>
        <v>Complete</v>
      </c>
      <c r="D65" s="108" t="str">
        <f>IF(H65=0,"","Click here to provide smelter information")</f>
        <v/>
      </c>
      <c r="E65" s="84" t="s">
        <v>1330</v>
      </c>
      <c r="F65" s="107">
        <f>F24</f>
        <v>1</v>
      </c>
      <c r="G65" s="81">
        <f>IF(AND(COUNTIF(SmelterIdetifiedForMetal,"Tantalum")&gt;0,COUNTIF('Smelter List'!AB$5:AB$2504,"Tantalum?*")&gt;0),0,1)</f>
        <v>0</v>
      </c>
      <c r="H65" s="82">
        <f t="shared"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39">
      <c r="A66" s="102" t="s">
        <v>1899</v>
      </c>
      <c r="B66" s="102"/>
      <c r="C66" s="102" t="str">
        <f t="shared" ca="1" si="13"/>
        <v>Complete</v>
      </c>
      <c r="D66" s="108" t="str">
        <f>IF(H66=0,"","Click here to provide smelter information")</f>
        <v/>
      </c>
      <c r="E66" s="84" t="s">
        <v>828</v>
      </c>
      <c r="F66" s="107">
        <f>F25</f>
        <v>1</v>
      </c>
      <c r="G66" s="81">
        <f>IF(AND(COUNTIF(SmelterIdetifiedForMetal,"Tin")&gt;0,COUNTIF('Smelter List'!AB$5:AB$2504,"Tin?*")&gt;0),0,1)</f>
        <v>0</v>
      </c>
      <c r="H66" s="82">
        <f t="shared"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39">
      <c r="A67" s="102" t="s">
        <v>1900</v>
      </c>
      <c r="B67" s="102"/>
      <c r="C67" s="102" t="str">
        <f t="shared" ca="1" si="13"/>
        <v>Complete</v>
      </c>
      <c r="D67" s="108" t="str">
        <f>IF(H67=0,"","Click here to provide smelter information")</f>
        <v/>
      </c>
      <c r="E67" s="84" t="s">
        <v>828</v>
      </c>
      <c r="F67" s="107">
        <f>F26</f>
        <v>1</v>
      </c>
      <c r="G67" s="81">
        <f>IF(AND(COUNTIF(SmelterIdetifiedForMetal,"Gold")&gt;0,COUNTIF('Smelter List'!AB$5:AB$2504,"Gold?*")&gt;0),0,1)</f>
        <v>0</v>
      </c>
      <c r="H67" s="82">
        <f t="shared"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39">
      <c r="A68" s="102" t="s">
        <v>1901</v>
      </c>
      <c r="B68" s="102"/>
      <c r="C68" s="102" t="str">
        <f t="shared" ca="1" si="13"/>
        <v>Complete</v>
      </c>
      <c r="D68" s="108" t="str">
        <f>IF(H68=0,"","Click here to provide smelter information")</f>
        <v/>
      </c>
      <c r="E68" s="84" t="s">
        <v>828</v>
      </c>
      <c r="F68" s="107">
        <f>F27</f>
        <v>1</v>
      </c>
      <c r="G68" s="81">
        <f>IF(AND(COUNTIF(SmelterIdetifiedForMetal,"Tungsten")&gt;0,COUNTIF('Smelter List'!AB$5:AB$2504,"Tungsten?*")&gt;0),0,1)</f>
        <v>0</v>
      </c>
      <c r="H68" s="82">
        <f t="shared"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5.5">
      <c r="A69" s="195" t="s">
        <v>2482</v>
      </c>
      <c r="B69" s="102"/>
      <c r="C69" s="195" t="str">
        <f ca="1">IF(F69=0,J69,IF(G69=0,I69,L69))</f>
        <v>Complete</v>
      </c>
      <c r="D69" s="108"/>
      <c r="E69" s="84"/>
      <c r="F69" s="107">
        <f>IF(COUNTIF('Smelter List'!C5:C2504,"Smelter not listed")=0,0,1)</f>
        <v>1</v>
      </c>
      <c r="G69" s="81">
        <f ca="1">IF(OR(SUMPRODUCT(('Smelter List'!C5:C2504="Smelter not listed")*('Smelter List'!D5:D2504=""))&gt;0,SUMPRODUCT(('Smelter List'!C5:C2504="Smelter not listed")*('Smelter List'!E5:E2504=""))&gt;0),1,0)</f>
        <v>0</v>
      </c>
      <c r="H69" s="82">
        <f t="shared" ca="1" si="14"/>
        <v>0</v>
      </c>
      <c r="I69" s="179" t="str">
        <f ca="1">OFFSET(L!$C$1,MATCH("Checker"&amp;"Comp",L!$A:$A,0)-1,SL,,)</f>
        <v>Complete</v>
      </c>
      <c r="J69" s="22" t="s">
        <v>2483</v>
      </c>
      <c r="K69" s="186"/>
      <c r="L69" s="22" t="s">
        <v>2484</v>
      </c>
    </row>
    <row r="70" spans="1:12">
      <c r="H70" s="22">
        <f ca="1">SUM(H4:H69)</f>
        <v>1</v>
      </c>
    </row>
    <row r="71" spans="1:12">
      <c r="A71" s="24"/>
    </row>
    <row r="72" spans="1:12">
      <c r="A72" s="24"/>
    </row>
    <row r="73" spans="1:12" ht="13.5" thickBot="1">
      <c r="A73" s="24"/>
    </row>
  </sheetData>
  <sheetProtection algorithmName="SHA-512" hashValue="ZVUAWNTFGTQyU2gxGrj5aZFiqS5ZdTGV9jPNTjP8d0a1rPH0FkOjdrpGni11qP8mMwNZ/HfJJ99fBsG84a3GDg==" saltValue="G4OjBdDOOyDajl+p3YA54w=="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35" priority="358" stopIfTrue="1">
      <formula>$H$56=0</formula>
    </cfRule>
  </conditionalFormatting>
  <conditionalFormatting sqref="B66">
    <cfRule type="expression" dxfId="34" priority="39" stopIfTrue="1">
      <formula>IF(F66=0,TRUE)</formula>
    </cfRule>
  </conditionalFormatting>
  <conditionalFormatting sqref="B67">
    <cfRule type="expression" dxfId="33" priority="35" stopIfTrue="1">
      <formula>IF(F67=0,TRUE)</formula>
    </cfRule>
  </conditionalFormatting>
  <conditionalFormatting sqref="B68:B69">
    <cfRule type="expression" dxfId="32" priority="31" stopIfTrue="1">
      <formula>IF(F68=0,TRUE)</formula>
    </cfRule>
  </conditionalFormatting>
  <conditionalFormatting sqref="C69">
    <cfRule type="expression" dxfId="31" priority="13" stopIfTrue="1">
      <formula>C69="Not Required"</formula>
    </cfRule>
    <cfRule type="expression" dxfId="30" priority="21" stopIfTrue="1">
      <formula>OR(C69="Complete",C69="填写",C69="記入",C69="완료",C69="Complétez",C69="Concluído",C69="Vollständig",C69="Completare",C69="Doldurun")</formula>
    </cfRule>
  </conditionalFormatting>
  <conditionalFormatting sqref="A69">
    <cfRule type="expression" dxfId="29" priority="14" stopIfTrue="1">
      <formula>C69="Not Required"</formula>
    </cfRule>
    <cfRule type="expression" dxfId="28"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27" priority="347" stopIfTrue="1">
      <formula>$F4=0</formula>
    </cfRule>
    <cfRule type="expression" dxfId="26" priority="348" stopIfTrue="1">
      <formula>$H4=0</formula>
    </cfRule>
    <cfRule type="expression" dxfId="25" priority="349" stopIfTrue="1">
      <formula>$H4=1</formula>
    </cfRule>
  </conditionalFormatting>
  <conditionalFormatting sqref="C69 A69">
    <cfRule type="expression" dxfId="24" priority="11" stopIfTrue="1">
      <formula>IF(AND($F$69=1,$G$69=1),TRUE,FALSE)</formula>
    </cfRule>
  </conditionalFormatting>
  <conditionalFormatting sqref="A29:A32">
    <cfRule type="expression" dxfId="23" priority="2" stopIfTrue="1">
      <formula>$F29=0</formula>
    </cfRule>
    <cfRule type="expression" dxfId="22" priority="3" stopIfTrue="1">
      <formula>$H29=0</formula>
    </cfRule>
    <cfRule type="expression" dxfId="21" priority="4" stopIfTrue="1">
      <formula>$H29=1</formula>
    </cfRule>
  </conditionalFormatting>
  <conditionalFormatting sqref="B65">
    <cfRule type="expression" dxfId="20" priority="1" stopIfTrue="1">
      <formula>IF(F65=0,TRUE)</formula>
    </cfRule>
  </conditionalFormatting>
  <conditionalFormatting sqref="A5:A13">
    <cfRule type="expression" dxfId="19" priority="49" stopIfTrue="1">
      <formula>$F5=0</formula>
    </cfRule>
    <cfRule type="expression" dxfId="18" priority="50" stopIfTrue="1">
      <formula>AND($F5=1,$G5=0)</formula>
    </cfRule>
    <cfRule type="expression" dxfId="17"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D9F01253-BE9D-4773-AF44-89AAC67A0D1B}"/>
    <hyperlink ref="D30" location="Declaration!B45" display="Declaration!B45" xr:uid="{291BEC22-07C5-47BB-8392-18491C09EC5A}"/>
    <hyperlink ref="D31" location="Declaration!B46" display="Declaration!B46" xr:uid="{B8888B29-FB04-46C0-BE61-22630C9F994A}"/>
    <hyperlink ref="D32" location="Declaration!B47" display="Declaration!B47" xr:uid="{252C4472-D5B6-4FD6-998A-DCFF034F2C4B}"/>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B6" sqref="B6"/>
    </sheetView>
  </sheetViews>
  <sheetFormatPr defaultColWidth="8.875" defaultRowHeight="12.75"/>
  <cols>
    <col min="1" max="1" width="3.125" style="116" customWidth="1"/>
    <col min="2" max="2" width="39.875" style="117" customWidth="1"/>
    <col min="3" max="3" width="39.875" style="116" customWidth="1"/>
    <col min="4" max="4" width="58.875" style="116" customWidth="1"/>
    <col min="5" max="5" width="1.625" style="116" customWidth="1"/>
    <col min="6" max="6" width="9" customWidth="1"/>
    <col min="7" max="16384" width="8.875" style="26"/>
  </cols>
  <sheetData>
    <row r="1" spans="1:6" ht="35.25" customHeight="1" thickTop="1">
      <c r="A1" s="437" t="str">
        <f ca="1">OFFSET(L!$C$1,MATCH("Product List"&amp;ADDRESS(ROW(),COLUMN(),4),L!$A:$A,0)-1,SL,,)</f>
        <v>Completion required only if reporting level "Product (or List of Products)" selected on the 'Declaration' worksheet.</v>
      </c>
      <c r="B1" s="438"/>
      <c r="C1" s="438"/>
      <c r="D1" s="438"/>
      <c r="E1" s="145"/>
    </row>
    <row r="2" spans="1:6">
      <c r="A2" s="29"/>
      <c r="B2" s="147"/>
      <c r="C2" s="147"/>
      <c r="D2"/>
      <c r="E2" s="30"/>
    </row>
    <row r="3" spans="1:6">
      <c r="A3" s="29"/>
      <c r="B3" s="147"/>
      <c r="C3" s="147"/>
      <c r="D3" s="147"/>
      <c r="E3" s="30"/>
    </row>
    <row r="4" spans="1:6" ht="15.75" customHeight="1">
      <c r="A4" s="29"/>
      <c r="B4" s="436" t="s">
        <v>921</v>
      </c>
      <c r="C4" s="436"/>
      <c r="D4" s="436"/>
      <c r="E4" s="30"/>
    </row>
    <row r="5" spans="1:6" ht="15.7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75">
      <c r="A6" s="157"/>
      <c r="B6" s="148"/>
      <c r="C6" s="111"/>
      <c r="D6" s="111"/>
      <c r="E6" s="32"/>
      <c r="F6"/>
    </row>
    <row r="7" spans="1:6" s="33" customFormat="1" ht="15.75">
      <c r="A7" s="158"/>
      <c r="B7" s="148"/>
      <c r="C7" s="111"/>
      <c r="D7" s="111"/>
      <c r="E7" s="32"/>
      <c r="F7"/>
    </row>
    <row r="8" spans="1:6" s="33" customFormat="1" ht="15.75">
      <c r="A8" s="158"/>
      <c r="B8" s="148"/>
      <c r="C8" s="111"/>
      <c r="D8" s="111"/>
      <c r="E8" s="32"/>
      <c r="F8"/>
    </row>
    <row r="9" spans="1:6" s="33" customFormat="1" ht="15.75">
      <c r="A9" s="158"/>
      <c r="B9" s="148"/>
      <c r="C9" s="111"/>
      <c r="D9" s="111"/>
      <c r="E9" s="32"/>
      <c r="F9"/>
    </row>
    <row r="10" spans="1:6" s="33" customFormat="1" ht="15.75">
      <c r="A10" s="158"/>
      <c r="B10" s="148"/>
      <c r="C10" s="111"/>
      <c r="D10" s="111"/>
      <c r="E10" s="32"/>
      <c r="F10"/>
    </row>
    <row r="11" spans="1:6" s="33" customFormat="1" ht="15.75">
      <c r="A11" s="158"/>
      <c r="B11" s="148"/>
      <c r="C11" s="111"/>
      <c r="D11" s="111"/>
      <c r="E11" s="32"/>
      <c r="F11"/>
    </row>
    <row r="12" spans="1:6" s="33" customFormat="1" ht="15.75">
      <c r="A12" s="158"/>
      <c r="B12" s="148"/>
      <c r="C12" s="111"/>
      <c r="D12" s="111"/>
      <c r="E12" s="32"/>
      <c r="F12"/>
    </row>
    <row r="13" spans="1:6" s="33" customFormat="1" ht="15.75">
      <c r="A13" s="158"/>
      <c r="B13" s="148"/>
      <c r="C13" s="111"/>
      <c r="D13" s="111"/>
      <c r="E13" s="32"/>
      <c r="F13"/>
    </row>
    <row r="14" spans="1:6" s="33" customFormat="1" ht="15.75">
      <c r="A14" s="158"/>
      <c r="B14" s="148"/>
      <c r="C14" s="111"/>
      <c r="D14" s="111"/>
      <c r="E14" s="32"/>
      <c r="F14"/>
    </row>
    <row r="15" spans="1:6" s="33" customFormat="1" ht="15.75">
      <c r="A15" s="158"/>
      <c r="B15" s="148"/>
      <c r="C15" s="111"/>
      <c r="D15" s="111"/>
      <c r="E15" s="32"/>
      <c r="F15"/>
    </row>
    <row r="16" spans="1:6" s="33" customFormat="1" ht="15.75">
      <c r="A16" s="158"/>
      <c r="B16" s="148"/>
      <c r="C16" s="111"/>
      <c r="D16" s="111"/>
      <c r="E16" s="32"/>
      <c r="F16"/>
    </row>
    <row r="17" spans="1:6" s="33" customFormat="1" ht="15.75">
      <c r="A17" s="158"/>
      <c r="B17" s="148"/>
      <c r="C17" s="111"/>
      <c r="D17" s="111"/>
      <c r="E17" s="32"/>
      <c r="F17"/>
    </row>
    <row r="18" spans="1:6" s="33" customFormat="1" ht="15.75">
      <c r="A18" s="158"/>
      <c r="B18" s="148"/>
      <c r="C18" s="111"/>
      <c r="D18" s="111"/>
      <c r="E18" s="32"/>
      <c r="F18"/>
    </row>
    <row r="19" spans="1:6" s="33" customFormat="1" ht="15.75">
      <c r="A19" s="158"/>
      <c r="B19" s="148"/>
      <c r="C19" s="111"/>
      <c r="D19" s="111"/>
      <c r="E19" s="32"/>
      <c r="F19"/>
    </row>
    <row r="20" spans="1:6" s="33" customFormat="1" ht="15.75">
      <c r="A20" s="158"/>
      <c r="B20" s="148"/>
      <c r="C20" s="111"/>
      <c r="D20" s="111"/>
      <c r="E20" s="32"/>
      <c r="F20"/>
    </row>
    <row r="21" spans="1:6" s="33" customFormat="1" ht="15.75">
      <c r="A21" s="158"/>
      <c r="B21" s="148"/>
      <c r="C21" s="111"/>
      <c r="D21" s="111"/>
      <c r="E21" s="32"/>
      <c r="F21"/>
    </row>
    <row r="22" spans="1:6" s="33" customFormat="1" ht="15.75">
      <c r="A22" s="158"/>
      <c r="B22" s="148"/>
      <c r="C22" s="111"/>
      <c r="D22" s="111"/>
      <c r="E22" s="32"/>
      <c r="F22"/>
    </row>
    <row r="23" spans="1:6" s="33" customFormat="1" ht="15.75">
      <c r="A23" s="158"/>
      <c r="B23" s="148"/>
      <c r="C23" s="111"/>
      <c r="D23" s="111"/>
      <c r="E23" s="32"/>
      <c r="F23"/>
    </row>
    <row r="24" spans="1:6" s="33" customFormat="1" ht="15.75">
      <c r="A24" s="158"/>
      <c r="B24" s="148"/>
      <c r="C24" s="111"/>
      <c r="D24" s="111"/>
      <c r="E24" s="32"/>
      <c r="F24"/>
    </row>
    <row r="25" spans="1:6" s="33" customFormat="1" ht="15.75">
      <c r="A25" s="158"/>
      <c r="B25" s="148"/>
      <c r="C25" s="111"/>
      <c r="D25" s="111"/>
      <c r="E25" s="32"/>
      <c r="F25"/>
    </row>
    <row r="26" spans="1:6" s="33" customFormat="1" ht="15.75">
      <c r="A26" s="158"/>
      <c r="B26" s="148"/>
      <c r="C26" s="111"/>
      <c r="D26" s="111"/>
      <c r="E26" s="32"/>
      <c r="F26"/>
    </row>
    <row r="27" spans="1:6" s="33" customFormat="1" ht="15.75">
      <c r="A27" s="158"/>
      <c r="B27" s="148"/>
      <c r="C27" s="111"/>
      <c r="D27" s="111"/>
      <c r="E27" s="32"/>
      <c r="F27"/>
    </row>
    <row r="28" spans="1:6" s="33" customFormat="1" ht="15.75">
      <c r="A28" s="158"/>
      <c r="B28" s="148"/>
      <c r="C28" s="111"/>
      <c r="D28" s="111"/>
      <c r="E28" s="32"/>
      <c r="F28"/>
    </row>
    <row r="29" spans="1:6" s="33" customFormat="1" ht="15.75">
      <c r="A29" s="158"/>
      <c r="B29" s="148"/>
      <c r="C29" s="111"/>
      <c r="D29" s="111"/>
      <c r="E29" s="32"/>
      <c r="F29"/>
    </row>
    <row r="30" spans="1:6" s="33" customFormat="1" ht="15.75">
      <c r="A30" s="158"/>
      <c r="B30" s="148"/>
      <c r="C30" s="111"/>
      <c r="D30" s="111"/>
      <c r="E30" s="32"/>
      <c r="F30"/>
    </row>
    <row r="31" spans="1:6" s="33" customFormat="1" ht="15.75">
      <c r="A31" s="158"/>
      <c r="B31" s="148"/>
      <c r="C31" s="111"/>
      <c r="D31" s="111"/>
      <c r="E31" s="32"/>
      <c r="F31"/>
    </row>
    <row r="32" spans="1:6" s="33" customFormat="1" ht="15.75">
      <c r="A32" s="158"/>
      <c r="B32" s="148"/>
      <c r="C32" s="111"/>
      <c r="D32" s="111"/>
      <c r="E32" s="32"/>
      <c r="F32"/>
    </row>
    <row r="33" spans="1:6" s="33" customFormat="1" ht="15.75">
      <c r="A33" s="158"/>
      <c r="B33" s="148"/>
      <c r="C33" s="111"/>
      <c r="D33" s="111"/>
      <c r="E33" s="32"/>
      <c r="F33"/>
    </row>
    <row r="34" spans="1:6" s="33" customFormat="1" ht="15.75">
      <c r="A34" s="158"/>
      <c r="B34" s="148"/>
      <c r="C34" s="111"/>
      <c r="D34" s="111"/>
      <c r="E34" s="32"/>
      <c r="F34"/>
    </row>
    <row r="35" spans="1:6" s="33" customFormat="1" ht="15.75">
      <c r="A35" s="158"/>
      <c r="B35" s="148"/>
      <c r="C35" s="111"/>
      <c r="D35" s="111"/>
      <c r="E35" s="32"/>
      <c r="F35"/>
    </row>
    <row r="36" spans="1:6" s="33" customFormat="1" ht="15.75">
      <c r="A36" s="158"/>
      <c r="B36" s="148"/>
      <c r="C36" s="111"/>
      <c r="D36" s="111"/>
      <c r="E36" s="32"/>
      <c r="F36"/>
    </row>
    <row r="37" spans="1:6" s="33" customFormat="1" ht="15.75">
      <c r="A37" s="158"/>
      <c r="B37" s="148"/>
      <c r="C37" s="111"/>
      <c r="D37" s="111"/>
      <c r="E37" s="32"/>
      <c r="F37"/>
    </row>
    <row r="38" spans="1:6" s="33" customFormat="1" ht="15.75">
      <c r="A38" s="158"/>
      <c r="B38" s="148"/>
      <c r="C38" s="111"/>
      <c r="D38" s="111"/>
      <c r="E38" s="32"/>
      <c r="F38"/>
    </row>
    <row r="39" spans="1:6" s="33" customFormat="1" ht="15.75">
      <c r="A39" s="158"/>
      <c r="B39" s="148"/>
      <c r="C39" s="111"/>
      <c r="D39" s="111"/>
      <c r="E39" s="32"/>
      <c r="F39"/>
    </row>
    <row r="40" spans="1:6" s="33" customFormat="1" ht="15.75">
      <c r="A40" s="158"/>
      <c r="B40" s="148"/>
      <c r="C40" s="111"/>
      <c r="D40" s="111"/>
      <c r="E40" s="32"/>
      <c r="F40"/>
    </row>
    <row r="41" spans="1:6" s="33" customFormat="1" ht="15.75">
      <c r="A41" s="158"/>
      <c r="B41" s="148"/>
      <c r="C41" s="111"/>
      <c r="D41" s="111"/>
      <c r="E41" s="32"/>
      <c r="F41"/>
    </row>
    <row r="42" spans="1:6" s="33" customFormat="1" ht="15.75">
      <c r="A42" s="158"/>
      <c r="B42" s="148"/>
      <c r="C42" s="111"/>
      <c r="D42" s="111"/>
      <c r="E42" s="32"/>
      <c r="F42"/>
    </row>
    <row r="43" spans="1:6" s="33" customFormat="1" ht="15.75">
      <c r="A43" s="158"/>
      <c r="B43" s="148"/>
      <c r="C43" s="111"/>
      <c r="D43" s="111"/>
      <c r="E43" s="32"/>
      <c r="F43"/>
    </row>
    <row r="44" spans="1:6" s="33" customFormat="1" ht="15.75">
      <c r="A44" s="158"/>
      <c r="B44" s="148"/>
      <c r="C44" s="111"/>
      <c r="D44" s="111"/>
      <c r="E44" s="32"/>
      <c r="F44"/>
    </row>
    <row r="45" spans="1:6" s="33" customFormat="1" ht="15.75">
      <c r="A45" s="158"/>
      <c r="B45" s="148"/>
      <c r="C45" s="111"/>
      <c r="D45" s="111"/>
      <c r="E45" s="32"/>
      <c r="F45"/>
    </row>
    <row r="46" spans="1:6" s="33" customFormat="1" ht="15.75">
      <c r="A46" s="158"/>
      <c r="B46" s="148"/>
      <c r="C46" s="111"/>
      <c r="D46" s="111"/>
      <c r="E46" s="32"/>
      <c r="F46"/>
    </row>
    <row r="47" spans="1:6" s="33" customFormat="1" ht="15.75">
      <c r="A47" s="158"/>
      <c r="B47" s="148"/>
      <c r="C47" s="111"/>
      <c r="D47" s="111"/>
      <c r="E47" s="32"/>
      <c r="F47"/>
    </row>
    <row r="48" spans="1:6" s="33" customFormat="1" ht="15.75">
      <c r="A48" s="158"/>
      <c r="B48" s="148"/>
      <c r="C48" s="111"/>
      <c r="D48" s="111"/>
      <c r="E48" s="32"/>
      <c r="F48"/>
    </row>
    <row r="49" spans="1:6" s="33" customFormat="1" ht="15.75">
      <c r="A49" s="158"/>
      <c r="B49" s="148"/>
      <c r="C49" s="111"/>
      <c r="D49" s="111"/>
      <c r="E49" s="32"/>
      <c r="F49"/>
    </row>
    <row r="50" spans="1:6" s="33" customFormat="1" ht="15.75">
      <c r="A50" s="158"/>
      <c r="B50" s="148"/>
      <c r="C50" s="111"/>
      <c r="D50" s="111"/>
      <c r="E50" s="32"/>
      <c r="F50"/>
    </row>
    <row r="51" spans="1:6" s="33" customFormat="1" ht="15.75">
      <c r="A51" s="158"/>
      <c r="B51" s="148"/>
      <c r="C51" s="111"/>
      <c r="D51" s="111"/>
      <c r="E51" s="32"/>
      <c r="F51"/>
    </row>
    <row r="52" spans="1:6" s="33" customFormat="1" ht="15.75">
      <c r="A52" s="158"/>
      <c r="B52" s="148"/>
      <c r="C52" s="111"/>
      <c r="D52" s="111"/>
      <c r="E52" s="32"/>
      <c r="F52"/>
    </row>
    <row r="53" spans="1:6" s="33" customFormat="1" ht="15.75">
      <c r="A53" s="158"/>
      <c r="B53" s="148"/>
      <c r="C53" s="111"/>
      <c r="D53" s="111"/>
      <c r="E53" s="32"/>
      <c r="F53"/>
    </row>
    <row r="54" spans="1:6" s="33" customFormat="1" ht="15.75">
      <c r="A54" s="158"/>
      <c r="B54" s="148"/>
      <c r="C54" s="111"/>
      <c r="D54" s="111"/>
      <c r="E54" s="32"/>
      <c r="F54"/>
    </row>
    <row r="55" spans="1:6" s="33" customFormat="1" ht="15.75">
      <c r="A55" s="158"/>
      <c r="B55" s="148"/>
      <c r="C55" s="111"/>
      <c r="D55" s="111"/>
      <c r="E55" s="32"/>
      <c r="F55"/>
    </row>
    <row r="56" spans="1:6" s="33" customFormat="1" ht="15.75">
      <c r="A56" s="158"/>
      <c r="B56" s="148"/>
      <c r="C56" s="111"/>
      <c r="D56" s="111"/>
      <c r="E56" s="32"/>
      <c r="F56"/>
    </row>
    <row r="57" spans="1:6" s="33" customFormat="1" ht="15.75">
      <c r="A57" s="158"/>
      <c r="B57" s="148"/>
      <c r="C57" s="111"/>
      <c r="D57" s="111"/>
      <c r="E57" s="32"/>
      <c r="F57"/>
    </row>
    <row r="58" spans="1:6" s="33" customFormat="1" ht="15.75">
      <c r="A58" s="158"/>
      <c r="B58" s="148"/>
      <c r="C58" s="111"/>
      <c r="D58" s="111"/>
      <c r="E58" s="32"/>
      <c r="F58"/>
    </row>
    <row r="59" spans="1:6" s="33" customFormat="1" ht="15.75">
      <c r="A59" s="158"/>
      <c r="B59" s="148"/>
      <c r="C59" s="111"/>
      <c r="D59" s="111"/>
      <c r="E59" s="32"/>
      <c r="F59"/>
    </row>
    <row r="60" spans="1:6" s="33" customFormat="1" ht="15.75">
      <c r="A60" s="158"/>
      <c r="B60" s="148"/>
      <c r="C60" s="111"/>
      <c r="D60" s="111"/>
      <c r="E60" s="32"/>
      <c r="F60"/>
    </row>
    <row r="61" spans="1:6" s="33" customFormat="1" ht="15.75">
      <c r="A61" s="158"/>
      <c r="B61" s="148"/>
      <c r="C61" s="111"/>
      <c r="D61" s="111"/>
      <c r="E61" s="32"/>
      <c r="F61"/>
    </row>
    <row r="62" spans="1:6" s="33" customFormat="1" ht="15.75">
      <c r="A62" s="158"/>
      <c r="B62" s="148"/>
      <c r="C62" s="111"/>
      <c r="D62" s="111"/>
      <c r="E62" s="32"/>
      <c r="F62"/>
    </row>
    <row r="63" spans="1:6" s="33" customFormat="1" ht="15.75">
      <c r="A63" s="158"/>
      <c r="B63" s="148"/>
      <c r="C63" s="111"/>
      <c r="D63" s="111"/>
      <c r="E63" s="32"/>
      <c r="F63"/>
    </row>
    <row r="64" spans="1:6" s="33" customFormat="1" ht="15.75">
      <c r="A64" s="158"/>
      <c r="B64" s="148"/>
      <c r="C64" s="111"/>
      <c r="D64" s="111"/>
      <c r="E64" s="32"/>
      <c r="F64"/>
    </row>
    <row r="65" spans="1:6" s="33" customFormat="1" ht="15.75">
      <c r="A65" s="158"/>
      <c r="B65" s="148"/>
      <c r="C65" s="111"/>
      <c r="D65" s="111"/>
      <c r="E65" s="32"/>
      <c r="F65"/>
    </row>
    <row r="66" spans="1:6" s="33" customFormat="1" ht="15.75">
      <c r="A66" s="158"/>
      <c r="B66" s="148"/>
      <c r="C66" s="111"/>
      <c r="D66" s="111"/>
      <c r="E66" s="32"/>
      <c r="F66"/>
    </row>
    <row r="67" spans="1:6" s="33" customFormat="1" ht="15.75">
      <c r="A67" s="158"/>
      <c r="B67" s="148"/>
      <c r="C67" s="111"/>
      <c r="D67" s="111"/>
      <c r="E67" s="32"/>
      <c r="F67"/>
    </row>
    <row r="68" spans="1:6" s="33" customFormat="1" ht="15.75">
      <c r="A68" s="158"/>
      <c r="B68" s="148"/>
      <c r="C68" s="111"/>
      <c r="D68" s="111"/>
      <c r="E68" s="32"/>
      <c r="F68"/>
    </row>
    <row r="69" spans="1:6" s="33" customFormat="1" ht="15.75">
      <c r="A69" s="158"/>
      <c r="B69" s="148"/>
      <c r="C69" s="111"/>
      <c r="D69" s="111"/>
      <c r="E69" s="32"/>
      <c r="F69"/>
    </row>
    <row r="70" spans="1:6" s="33" customFormat="1" ht="15.75">
      <c r="A70" s="158"/>
      <c r="B70" s="148"/>
      <c r="C70" s="111"/>
      <c r="D70" s="111"/>
      <c r="E70" s="32"/>
      <c r="F70"/>
    </row>
    <row r="71" spans="1:6" s="33" customFormat="1" ht="15.75">
      <c r="A71" s="158"/>
      <c r="B71" s="148"/>
      <c r="C71" s="111"/>
      <c r="D71" s="111"/>
      <c r="E71" s="32"/>
      <c r="F71"/>
    </row>
    <row r="72" spans="1:6" s="33" customFormat="1" ht="15.75">
      <c r="A72" s="158"/>
      <c r="B72" s="148"/>
      <c r="C72" s="111"/>
      <c r="D72" s="111"/>
      <c r="E72" s="32"/>
      <c r="F72"/>
    </row>
    <row r="73" spans="1:6" s="33" customFormat="1" ht="15.75">
      <c r="A73" s="158"/>
      <c r="B73" s="148"/>
      <c r="C73" s="111"/>
      <c r="D73" s="111"/>
      <c r="E73" s="32"/>
      <c r="F73"/>
    </row>
    <row r="74" spans="1:6" s="33" customFormat="1" ht="15.75">
      <c r="A74" s="158"/>
      <c r="B74" s="148"/>
      <c r="C74" s="111"/>
      <c r="D74" s="111"/>
      <c r="E74" s="32"/>
      <c r="F74"/>
    </row>
    <row r="75" spans="1:6" s="33" customFormat="1" ht="15.75">
      <c r="A75" s="158"/>
      <c r="B75" s="148"/>
      <c r="C75" s="111"/>
      <c r="D75" s="111"/>
      <c r="E75" s="32"/>
      <c r="F75"/>
    </row>
    <row r="76" spans="1:6" s="33" customFormat="1" ht="15.75">
      <c r="A76" s="158"/>
      <c r="B76" s="148"/>
      <c r="C76" s="111"/>
      <c r="D76" s="111"/>
      <c r="E76" s="32"/>
      <c r="F76"/>
    </row>
    <row r="77" spans="1:6" s="33" customFormat="1" ht="15.75">
      <c r="A77" s="158"/>
      <c r="B77" s="148"/>
      <c r="C77" s="111"/>
      <c r="D77" s="111"/>
      <c r="E77" s="32"/>
      <c r="F77"/>
    </row>
    <row r="78" spans="1:6" s="33" customFormat="1" ht="15.75">
      <c r="A78" s="158"/>
      <c r="B78" s="148"/>
      <c r="C78" s="111"/>
      <c r="D78" s="111"/>
      <c r="E78" s="32"/>
      <c r="F78"/>
    </row>
    <row r="79" spans="1:6" s="33" customFormat="1" ht="15.75">
      <c r="A79" s="158"/>
      <c r="B79" s="148"/>
      <c r="C79" s="111"/>
      <c r="D79" s="111"/>
      <c r="E79" s="32"/>
      <c r="F79"/>
    </row>
    <row r="80" spans="1:6" s="33" customFormat="1" ht="15.75">
      <c r="A80" s="158"/>
      <c r="B80" s="148"/>
      <c r="C80" s="111"/>
      <c r="D80" s="111"/>
      <c r="E80" s="32"/>
      <c r="F80"/>
    </row>
    <row r="81" spans="1:6" s="33" customFormat="1" ht="15.75">
      <c r="A81" s="158"/>
      <c r="B81" s="148"/>
      <c r="C81" s="111"/>
      <c r="D81" s="111"/>
      <c r="E81" s="32"/>
      <c r="F81"/>
    </row>
    <row r="82" spans="1:6" s="33" customFormat="1" ht="15.75">
      <c r="A82" s="158"/>
      <c r="B82" s="148"/>
      <c r="C82" s="111"/>
      <c r="D82" s="111"/>
      <c r="E82" s="32"/>
      <c r="F82"/>
    </row>
    <row r="83" spans="1:6" s="33" customFormat="1" ht="15.75">
      <c r="A83" s="158"/>
      <c r="B83" s="148"/>
      <c r="C83" s="111"/>
      <c r="D83" s="111"/>
      <c r="E83" s="32"/>
      <c r="F83"/>
    </row>
    <row r="84" spans="1:6" s="33" customFormat="1" ht="15.75">
      <c r="A84" s="158"/>
      <c r="B84" s="148"/>
      <c r="C84" s="111"/>
      <c r="D84" s="111"/>
      <c r="E84" s="32"/>
      <c r="F84"/>
    </row>
    <row r="85" spans="1:6" s="33" customFormat="1" ht="15.75">
      <c r="A85" s="158"/>
      <c r="B85" s="148"/>
      <c r="C85" s="111"/>
      <c r="D85" s="111"/>
      <c r="E85" s="32"/>
      <c r="F85"/>
    </row>
    <row r="86" spans="1:6" s="33" customFormat="1" ht="15.75">
      <c r="A86" s="158"/>
      <c r="B86" s="148"/>
      <c r="C86" s="111"/>
      <c r="D86" s="111"/>
      <c r="E86" s="32"/>
      <c r="F86"/>
    </row>
    <row r="87" spans="1:6" s="33" customFormat="1" ht="15.75">
      <c r="A87" s="158"/>
      <c r="B87" s="148"/>
      <c r="C87" s="111"/>
      <c r="D87" s="111"/>
      <c r="E87" s="32"/>
      <c r="F87"/>
    </row>
    <row r="88" spans="1:6" s="33" customFormat="1" ht="15.75">
      <c r="A88" s="158"/>
      <c r="B88" s="148"/>
      <c r="C88" s="111"/>
      <c r="D88" s="111"/>
      <c r="E88" s="32"/>
      <c r="F88"/>
    </row>
    <row r="89" spans="1:6" s="33" customFormat="1" ht="15.75">
      <c r="A89" s="158"/>
      <c r="B89" s="148"/>
      <c r="C89" s="111"/>
      <c r="D89" s="111"/>
      <c r="E89" s="32"/>
      <c r="F89"/>
    </row>
    <row r="90" spans="1:6" s="33" customFormat="1" ht="15.75">
      <c r="A90" s="158"/>
      <c r="B90" s="148"/>
      <c r="C90" s="111"/>
      <c r="D90" s="111"/>
      <c r="E90" s="32"/>
      <c r="F90"/>
    </row>
    <row r="91" spans="1:6" s="33" customFormat="1" ht="15.75">
      <c r="A91" s="158"/>
      <c r="B91" s="148"/>
      <c r="C91" s="111"/>
      <c r="D91" s="111"/>
      <c r="E91" s="32"/>
      <c r="F91"/>
    </row>
    <row r="92" spans="1:6" s="33" customFormat="1" ht="15.75">
      <c r="A92" s="158"/>
      <c r="B92" s="148"/>
      <c r="C92" s="111"/>
      <c r="D92" s="111"/>
      <c r="E92" s="32"/>
      <c r="F92"/>
    </row>
    <row r="93" spans="1:6" s="33" customFormat="1" ht="15.75">
      <c r="A93" s="158"/>
      <c r="B93" s="148"/>
      <c r="C93" s="111"/>
      <c r="D93" s="111"/>
      <c r="E93" s="32"/>
      <c r="F93"/>
    </row>
    <row r="94" spans="1:6" s="33" customFormat="1" ht="15.75">
      <c r="A94" s="158"/>
      <c r="B94" s="148"/>
      <c r="C94" s="111"/>
      <c r="D94" s="111"/>
      <c r="E94" s="32"/>
      <c r="F94"/>
    </row>
    <row r="95" spans="1:6" s="33" customFormat="1" ht="15.75">
      <c r="A95" s="158"/>
      <c r="B95" s="148"/>
      <c r="C95" s="111"/>
      <c r="D95" s="111"/>
      <c r="E95" s="32"/>
      <c r="F95"/>
    </row>
    <row r="96" spans="1:6" s="33" customFormat="1" ht="15.75">
      <c r="A96" s="158"/>
      <c r="B96" s="148"/>
      <c r="C96" s="111"/>
      <c r="D96" s="111"/>
      <c r="E96" s="32"/>
      <c r="F96"/>
    </row>
    <row r="97" spans="1:6" s="33" customFormat="1" ht="15.75">
      <c r="A97" s="158"/>
      <c r="B97" s="148"/>
      <c r="C97" s="111"/>
      <c r="D97" s="111"/>
      <c r="E97" s="32"/>
      <c r="F97"/>
    </row>
    <row r="98" spans="1:6" s="33" customFormat="1" ht="15.75">
      <c r="A98" s="158"/>
      <c r="B98" s="148"/>
      <c r="C98" s="111"/>
      <c r="D98" s="111"/>
      <c r="E98" s="32"/>
      <c r="F98"/>
    </row>
    <row r="99" spans="1:6" s="33" customFormat="1" ht="15.75">
      <c r="A99" s="158"/>
      <c r="B99" s="148"/>
      <c r="C99" s="111"/>
      <c r="D99" s="111"/>
      <c r="E99" s="32"/>
      <c r="F99"/>
    </row>
    <row r="100" spans="1:6" s="33" customFormat="1" ht="15.75">
      <c r="A100" s="158"/>
      <c r="B100" s="148"/>
      <c r="C100" s="111"/>
      <c r="D100" s="111"/>
      <c r="E100" s="32"/>
      <c r="F100"/>
    </row>
    <row r="101" spans="1:6" s="33" customFormat="1" ht="15.75">
      <c r="A101" s="158"/>
      <c r="B101" s="148"/>
      <c r="C101" s="111"/>
      <c r="D101" s="111"/>
      <c r="E101" s="32"/>
      <c r="F101"/>
    </row>
    <row r="102" spans="1:6" s="33" customFormat="1" ht="15.75">
      <c r="A102" s="158"/>
      <c r="B102" s="148"/>
      <c r="C102" s="111"/>
      <c r="D102" s="111"/>
      <c r="E102" s="32"/>
      <c r="F102"/>
    </row>
    <row r="103" spans="1:6" s="33" customFormat="1" ht="15.75">
      <c r="A103" s="158"/>
      <c r="B103" s="148"/>
      <c r="C103" s="111"/>
      <c r="D103" s="111"/>
      <c r="E103" s="32"/>
      <c r="F103"/>
    </row>
    <row r="104" spans="1:6" s="33" customFormat="1" ht="15.75">
      <c r="A104" s="158"/>
      <c r="B104" s="148"/>
      <c r="C104" s="111"/>
      <c r="D104" s="111"/>
      <c r="E104" s="32"/>
      <c r="F104"/>
    </row>
    <row r="105" spans="1:6" s="33" customFormat="1" ht="15.75">
      <c r="A105" s="158"/>
      <c r="B105" s="148"/>
      <c r="C105" s="111"/>
      <c r="D105" s="111"/>
      <c r="E105" s="32"/>
      <c r="F105"/>
    </row>
    <row r="106" spans="1:6" s="33" customFormat="1" ht="15.75">
      <c r="A106" s="158"/>
      <c r="B106" s="148"/>
      <c r="C106" s="111"/>
      <c r="D106" s="111"/>
      <c r="E106" s="32"/>
      <c r="F106"/>
    </row>
    <row r="107" spans="1:6" s="33" customFormat="1" ht="15.75">
      <c r="A107" s="158"/>
      <c r="B107" s="148"/>
      <c r="C107" s="111"/>
      <c r="D107" s="111"/>
      <c r="E107" s="32"/>
      <c r="F107"/>
    </row>
    <row r="108" spans="1:6" s="33" customFormat="1" ht="15.75">
      <c r="A108" s="158"/>
      <c r="B108" s="148"/>
      <c r="C108" s="111"/>
      <c r="D108" s="111"/>
      <c r="E108" s="32"/>
      <c r="F108"/>
    </row>
    <row r="109" spans="1:6" s="33" customFormat="1" ht="15.75">
      <c r="A109" s="158"/>
      <c r="B109" s="148"/>
      <c r="C109" s="111"/>
      <c r="D109" s="111"/>
      <c r="E109" s="32"/>
      <c r="F109"/>
    </row>
    <row r="110" spans="1:6" s="33" customFormat="1" ht="15.75">
      <c r="A110" s="158"/>
      <c r="B110" s="148"/>
      <c r="C110" s="111"/>
      <c r="D110" s="111"/>
      <c r="E110" s="32"/>
      <c r="F110"/>
    </row>
    <row r="111" spans="1:6" s="33" customFormat="1" ht="15.75">
      <c r="A111" s="158"/>
      <c r="B111" s="148"/>
      <c r="C111" s="111"/>
      <c r="D111" s="111"/>
      <c r="E111" s="32"/>
      <c r="F111"/>
    </row>
    <row r="112" spans="1:6" s="33" customFormat="1" ht="15.75">
      <c r="A112" s="158"/>
      <c r="B112" s="148"/>
      <c r="C112" s="111"/>
      <c r="D112" s="111"/>
      <c r="E112" s="32"/>
      <c r="F112"/>
    </row>
    <row r="113" spans="1:6" s="33" customFormat="1" ht="15.75">
      <c r="A113" s="158"/>
      <c r="B113" s="148"/>
      <c r="C113" s="111"/>
      <c r="D113" s="111"/>
      <c r="E113" s="32"/>
      <c r="F113"/>
    </row>
    <row r="114" spans="1:6" s="33" customFormat="1" ht="15.75">
      <c r="A114" s="158"/>
      <c r="B114" s="148"/>
      <c r="C114" s="111"/>
      <c r="D114" s="111"/>
      <c r="E114" s="32"/>
      <c r="F114"/>
    </row>
    <row r="115" spans="1:6" s="33" customFormat="1" ht="15.75">
      <c r="A115" s="158"/>
      <c r="B115" s="148"/>
      <c r="C115" s="111"/>
      <c r="D115" s="111"/>
      <c r="E115" s="32"/>
      <c r="F115"/>
    </row>
    <row r="116" spans="1:6" s="33" customFormat="1" ht="15.75">
      <c r="A116" s="158"/>
      <c r="B116" s="148"/>
      <c r="C116" s="111"/>
      <c r="D116" s="111"/>
      <c r="E116" s="32"/>
      <c r="F116"/>
    </row>
    <row r="117" spans="1:6" s="33" customFormat="1" ht="15.75">
      <c r="A117" s="158"/>
      <c r="B117" s="148"/>
      <c r="C117" s="111"/>
      <c r="D117" s="111"/>
      <c r="E117" s="32"/>
      <c r="F117"/>
    </row>
    <row r="118" spans="1:6" s="33" customFormat="1" ht="15.75">
      <c r="A118" s="158"/>
      <c r="B118" s="148"/>
      <c r="C118" s="111"/>
      <c r="D118" s="111"/>
      <c r="E118" s="32"/>
      <c r="F118"/>
    </row>
    <row r="119" spans="1:6" s="33" customFormat="1" ht="15.75">
      <c r="A119" s="158"/>
      <c r="B119" s="148"/>
      <c r="C119" s="111"/>
      <c r="D119" s="111"/>
      <c r="E119" s="32"/>
      <c r="F119"/>
    </row>
    <row r="120" spans="1:6" s="33" customFormat="1" ht="15.75">
      <c r="A120" s="158"/>
      <c r="B120" s="148"/>
      <c r="C120" s="111"/>
      <c r="D120" s="111"/>
      <c r="E120" s="32"/>
      <c r="F120"/>
    </row>
    <row r="121" spans="1:6" s="33" customFormat="1" ht="15.75">
      <c r="A121" s="158"/>
      <c r="B121" s="148"/>
      <c r="C121" s="111"/>
      <c r="D121" s="111"/>
      <c r="E121" s="32"/>
      <c r="F121"/>
    </row>
    <row r="122" spans="1:6" s="33" customFormat="1" ht="15.75">
      <c r="A122" s="158"/>
      <c r="B122" s="148"/>
      <c r="C122" s="111"/>
      <c r="D122" s="111"/>
      <c r="E122" s="32"/>
      <c r="F122"/>
    </row>
    <row r="123" spans="1:6" s="33" customFormat="1" ht="15.75">
      <c r="A123" s="158"/>
      <c r="B123" s="148"/>
      <c r="C123" s="111"/>
      <c r="D123" s="111"/>
      <c r="E123" s="32"/>
      <c r="F123"/>
    </row>
    <row r="124" spans="1:6" s="33" customFormat="1" ht="15.75">
      <c r="A124" s="158"/>
      <c r="B124" s="148"/>
      <c r="C124" s="111"/>
      <c r="D124" s="111"/>
      <c r="E124" s="32"/>
      <c r="F124"/>
    </row>
    <row r="125" spans="1:6" s="33" customFormat="1" ht="15.75">
      <c r="A125" s="158"/>
      <c r="B125" s="148"/>
      <c r="C125" s="111"/>
      <c r="D125" s="111"/>
      <c r="E125" s="32"/>
      <c r="F125"/>
    </row>
    <row r="126" spans="1:6" s="33" customFormat="1" ht="15.75">
      <c r="A126" s="158"/>
      <c r="B126" s="148"/>
      <c r="C126" s="111"/>
      <c r="D126" s="111"/>
      <c r="E126" s="32"/>
      <c r="F126"/>
    </row>
    <row r="127" spans="1:6" s="33" customFormat="1" ht="15.75">
      <c r="A127" s="158"/>
      <c r="B127" s="148"/>
      <c r="C127" s="111"/>
      <c r="D127" s="111"/>
      <c r="E127" s="32"/>
      <c r="F127"/>
    </row>
    <row r="128" spans="1:6" s="33" customFormat="1" ht="15.75">
      <c r="A128" s="158"/>
      <c r="B128" s="148"/>
      <c r="C128" s="111"/>
      <c r="D128" s="111"/>
      <c r="E128" s="32"/>
      <c r="F128"/>
    </row>
    <row r="129" spans="1:6" s="33" customFormat="1" ht="15.75">
      <c r="A129" s="158"/>
      <c r="B129" s="148"/>
      <c r="C129" s="111"/>
      <c r="D129" s="111"/>
      <c r="E129" s="32"/>
      <c r="F129"/>
    </row>
    <row r="130" spans="1:6" s="33" customFormat="1" ht="15.75">
      <c r="A130" s="158"/>
      <c r="B130" s="148"/>
      <c r="C130" s="111"/>
      <c r="D130" s="111"/>
      <c r="E130" s="32"/>
      <c r="F130"/>
    </row>
    <row r="131" spans="1:6" s="33" customFormat="1" ht="15.75">
      <c r="A131" s="158"/>
      <c r="B131" s="148"/>
      <c r="C131" s="111"/>
      <c r="D131" s="111"/>
      <c r="E131" s="32"/>
      <c r="F131"/>
    </row>
    <row r="132" spans="1:6" s="33" customFormat="1" ht="15.75">
      <c r="A132" s="158"/>
      <c r="B132" s="148"/>
      <c r="C132" s="111"/>
      <c r="D132" s="111"/>
      <c r="E132" s="32"/>
      <c r="F132"/>
    </row>
    <row r="133" spans="1:6" s="33" customFormat="1" ht="15.75">
      <c r="A133" s="158"/>
      <c r="B133" s="148"/>
      <c r="C133" s="111"/>
      <c r="D133" s="111"/>
      <c r="E133" s="32"/>
      <c r="F133"/>
    </row>
    <row r="134" spans="1:6" s="33" customFormat="1" ht="15.75">
      <c r="A134" s="158"/>
      <c r="B134" s="148"/>
      <c r="C134" s="111"/>
      <c r="D134" s="111"/>
      <c r="E134" s="32"/>
      <c r="F134"/>
    </row>
    <row r="135" spans="1:6" s="33" customFormat="1" ht="15.75">
      <c r="A135" s="158"/>
      <c r="B135" s="148"/>
      <c r="C135" s="111"/>
      <c r="D135" s="111"/>
      <c r="E135" s="32"/>
      <c r="F135"/>
    </row>
    <row r="136" spans="1:6" s="33" customFormat="1" ht="15.75">
      <c r="A136" s="158"/>
      <c r="B136" s="148"/>
      <c r="C136" s="111"/>
      <c r="D136" s="111"/>
      <c r="E136" s="32"/>
      <c r="F136"/>
    </row>
    <row r="137" spans="1:6" s="33" customFormat="1" ht="15.75">
      <c r="A137" s="158"/>
      <c r="B137" s="148"/>
      <c r="C137" s="111"/>
      <c r="D137" s="111"/>
      <c r="E137" s="32"/>
      <c r="F137"/>
    </row>
    <row r="138" spans="1:6" s="33" customFormat="1" ht="15.75">
      <c r="A138" s="158"/>
      <c r="B138" s="148"/>
      <c r="C138" s="111"/>
      <c r="D138" s="111"/>
      <c r="E138" s="32"/>
      <c r="F138"/>
    </row>
    <row r="139" spans="1:6" s="33" customFormat="1" ht="15.75">
      <c r="A139" s="158"/>
      <c r="B139" s="148"/>
      <c r="C139" s="111"/>
      <c r="D139" s="111"/>
      <c r="E139" s="32"/>
      <c r="F139"/>
    </row>
    <row r="140" spans="1:6" s="33" customFormat="1" ht="15.75">
      <c r="A140" s="158"/>
      <c r="B140" s="148"/>
      <c r="C140" s="111"/>
      <c r="D140" s="111"/>
      <c r="E140" s="32"/>
      <c r="F140"/>
    </row>
    <row r="141" spans="1:6" s="33" customFormat="1" ht="15.75">
      <c r="A141" s="158"/>
      <c r="B141" s="148"/>
      <c r="C141" s="111"/>
      <c r="D141" s="111"/>
      <c r="E141" s="32"/>
      <c r="F141"/>
    </row>
    <row r="142" spans="1:6" s="33" customFormat="1" ht="15.75">
      <c r="A142" s="158"/>
      <c r="B142" s="148"/>
      <c r="C142" s="111"/>
      <c r="D142" s="111"/>
      <c r="E142" s="32"/>
      <c r="F142"/>
    </row>
    <row r="143" spans="1:6" s="33" customFormat="1" ht="15.75">
      <c r="A143" s="158"/>
      <c r="B143" s="148"/>
      <c r="C143" s="111"/>
      <c r="D143" s="111"/>
      <c r="E143" s="32"/>
      <c r="F143"/>
    </row>
    <row r="144" spans="1:6" s="33" customFormat="1" ht="15.75">
      <c r="A144" s="158"/>
      <c r="B144" s="148"/>
      <c r="C144" s="111"/>
      <c r="D144" s="111"/>
      <c r="E144" s="32"/>
      <c r="F144"/>
    </row>
    <row r="145" spans="1:6" s="33" customFormat="1" ht="15.75">
      <c r="A145" s="158"/>
      <c r="B145" s="148"/>
      <c r="C145" s="111"/>
      <c r="D145" s="111"/>
      <c r="E145" s="32"/>
      <c r="F145"/>
    </row>
    <row r="146" spans="1:6" s="33" customFormat="1" ht="15.75">
      <c r="A146" s="158"/>
      <c r="B146" s="148"/>
      <c r="C146" s="111"/>
      <c r="D146" s="111"/>
      <c r="E146" s="32"/>
      <c r="F146"/>
    </row>
    <row r="147" spans="1:6" s="33" customFormat="1" ht="15.75">
      <c r="A147" s="158"/>
      <c r="B147" s="148"/>
      <c r="C147" s="111"/>
      <c r="D147" s="111"/>
      <c r="E147" s="32"/>
      <c r="F147"/>
    </row>
    <row r="148" spans="1:6" s="33" customFormat="1" ht="15.75">
      <c r="A148" s="158"/>
      <c r="B148" s="148"/>
      <c r="C148" s="111"/>
      <c r="D148" s="111"/>
      <c r="E148" s="32"/>
      <c r="F148"/>
    </row>
    <row r="149" spans="1:6" s="33" customFormat="1" ht="15.75">
      <c r="A149" s="158"/>
      <c r="B149" s="148"/>
      <c r="C149" s="111"/>
      <c r="D149" s="111"/>
      <c r="E149" s="32"/>
      <c r="F149"/>
    </row>
    <row r="150" spans="1:6" s="33" customFormat="1" ht="15.75">
      <c r="A150" s="158"/>
      <c r="B150" s="148"/>
      <c r="C150" s="111"/>
      <c r="D150" s="111"/>
      <c r="E150" s="32"/>
      <c r="F150"/>
    </row>
    <row r="151" spans="1:6" s="33" customFormat="1" ht="15.75">
      <c r="A151" s="158"/>
      <c r="B151" s="148"/>
      <c r="C151" s="111"/>
      <c r="D151" s="111"/>
      <c r="E151" s="32"/>
      <c r="F151"/>
    </row>
    <row r="152" spans="1:6" s="33" customFormat="1" ht="15.75">
      <c r="A152" s="158"/>
      <c r="B152" s="148"/>
      <c r="C152" s="111"/>
      <c r="D152" s="111"/>
      <c r="E152" s="32"/>
      <c r="F152"/>
    </row>
    <row r="153" spans="1:6" s="33" customFormat="1" ht="15.75">
      <c r="A153" s="158"/>
      <c r="B153" s="148"/>
      <c r="C153" s="111"/>
      <c r="D153" s="111"/>
      <c r="E153" s="32"/>
      <c r="F153"/>
    </row>
    <row r="154" spans="1:6" s="33" customFormat="1" ht="15.75">
      <c r="A154" s="158"/>
      <c r="B154" s="148"/>
      <c r="C154" s="111"/>
      <c r="D154" s="111"/>
      <c r="E154" s="32"/>
      <c r="F154"/>
    </row>
    <row r="155" spans="1:6" s="33" customFormat="1" ht="15.75">
      <c r="A155" s="158"/>
      <c r="B155" s="148"/>
      <c r="C155" s="111"/>
      <c r="D155" s="111"/>
      <c r="E155" s="32"/>
      <c r="F155"/>
    </row>
    <row r="156" spans="1:6" s="33" customFormat="1" ht="15.75">
      <c r="A156" s="158"/>
      <c r="B156" s="148"/>
      <c r="C156" s="111"/>
      <c r="D156" s="111"/>
      <c r="E156" s="32"/>
      <c r="F156"/>
    </row>
    <row r="157" spans="1:6" s="33" customFormat="1" ht="15.75">
      <c r="A157" s="158"/>
      <c r="B157" s="148"/>
      <c r="C157" s="111"/>
      <c r="D157" s="111"/>
      <c r="E157" s="32"/>
      <c r="F157"/>
    </row>
    <row r="158" spans="1:6" s="33" customFormat="1" ht="15.75">
      <c r="A158" s="158"/>
      <c r="B158" s="148"/>
      <c r="C158" s="111"/>
      <c r="D158" s="111"/>
      <c r="E158" s="32"/>
      <c r="F158"/>
    </row>
    <row r="159" spans="1:6" s="33" customFormat="1" ht="15.75">
      <c r="A159" s="158"/>
      <c r="B159" s="148"/>
      <c r="C159" s="111"/>
      <c r="D159" s="111"/>
      <c r="E159" s="32"/>
      <c r="F159"/>
    </row>
    <row r="160" spans="1:6" s="33" customFormat="1" ht="15.75">
      <c r="A160" s="158"/>
      <c r="B160" s="148"/>
      <c r="C160" s="111"/>
      <c r="D160" s="111"/>
      <c r="E160" s="32"/>
      <c r="F160"/>
    </row>
    <row r="161" spans="1:6" s="33" customFormat="1" ht="15.75">
      <c r="A161" s="158"/>
      <c r="B161" s="148"/>
      <c r="C161" s="111"/>
      <c r="D161" s="111"/>
      <c r="E161" s="32"/>
      <c r="F161"/>
    </row>
    <row r="162" spans="1:6" s="33" customFormat="1" ht="15.75">
      <c r="A162" s="158"/>
      <c r="B162" s="148"/>
      <c r="C162" s="111"/>
      <c r="D162" s="111"/>
      <c r="E162" s="32"/>
      <c r="F162"/>
    </row>
    <row r="163" spans="1:6" s="33" customFormat="1" ht="15.75">
      <c r="A163" s="158"/>
      <c r="B163" s="148"/>
      <c r="C163" s="111"/>
      <c r="D163" s="111"/>
      <c r="E163" s="32"/>
      <c r="F163"/>
    </row>
    <row r="164" spans="1:6" s="33" customFormat="1" ht="15.75">
      <c r="A164" s="158"/>
      <c r="B164" s="148"/>
      <c r="C164" s="111"/>
      <c r="D164" s="111"/>
      <c r="E164" s="32"/>
      <c r="F164"/>
    </row>
    <row r="165" spans="1:6" s="33" customFormat="1" ht="15.75">
      <c r="A165" s="158"/>
      <c r="B165" s="148"/>
      <c r="C165" s="111"/>
      <c r="D165" s="111"/>
      <c r="E165" s="32"/>
      <c r="F165"/>
    </row>
    <row r="166" spans="1:6" s="33" customFormat="1" ht="15.75">
      <c r="A166" s="158"/>
      <c r="B166" s="148"/>
      <c r="C166" s="111"/>
      <c r="D166" s="111"/>
      <c r="E166" s="32"/>
      <c r="F166"/>
    </row>
    <row r="167" spans="1:6" s="33" customFormat="1" ht="15.75">
      <c r="A167" s="158"/>
      <c r="B167" s="148"/>
      <c r="C167" s="111"/>
      <c r="D167" s="111"/>
      <c r="E167" s="32"/>
      <c r="F167"/>
    </row>
    <row r="168" spans="1:6" s="33" customFormat="1" ht="15.75">
      <c r="A168" s="158"/>
      <c r="B168" s="148"/>
      <c r="C168" s="111"/>
      <c r="D168" s="111"/>
      <c r="E168" s="32"/>
      <c r="F168"/>
    </row>
    <row r="169" spans="1:6" s="33" customFormat="1" ht="15.75">
      <c r="A169" s="158"/>
      <c r="B169" s="148"/>
      <c r="C169" s="111"/>
      <c r="D169" s="111"/>
      <c r="E169" s="32"/>
      <c r="F169"/>
    </row>
    <row r="170" spans="1:6" s="33" customFormat="1" ht="15.75">
      <c r="A170" s="158"/>
      <c r="B170" s="148"/>
      <c r="C170" s="111"/>
      <c r="D170" s="111"/>
      <c r="E170" s="32"/>
      <c r="F170"/>
    </row>
    <row r="171" spans="1:6" s="33" customFormat="1" ht="15.75">
      <c r="A171" s="158"/>
      <c r="B171" s="148"/>
      <c r="C171" s="111"/>
      <c r="D171" s="111"/>
      <c r="E171" s="32"/>
      <c r="F171"/>
    </row>
    <row r="172" spans="1:6" s="33" customFormat="1" ht="15.75">
      <c r="A172" s="158"/>
      <c r="B172" s="148"/>
      <c r="C172" s="111"/>
      <c r="D172" s="111"/>
      <c r="E172" s="32"/>
      <c r="F172"/>
    </row>
    <row r="173" spans="1:6" s="33" customFormat="1" ht="15.75">
      <c r="A173" s="158"/>
      <c r="B173" s="148"/>
      <c r="C173" s="111"/>
      <c r="D173" s="111"/>
      <c r="E173" s="32"/>
      <c r="F173"/>
    </row>
    <row r="174" spans="1:6" s="33" customFormat="1" ht="15.75">
      <c r="A174" s="158"/>
      <c r="B174" s="148"/>
      <c r="C174" s="111"/>
      <c r="D174" s="111"/>
      <c r="E174" s="32"/>
      <c r="F174"/>
    </row>
    <row r="175" spans="1:6" s="33" customFormat="1" ht="15.75">
      <c r="A175" s="158"/>
      <c r="B175" s="148"/>
      <c r="C175" s="111"/>
      <c r="D175" s="111"/>
      <c r="E175" s="32"/>
      <c r="F175"/>
    </row>
    <row r="176" spans="1:6" s="33" customFormat="1" ht="15.75">
      <c r="A176" s="158"/>
      <c r="B176" s="148"/>
      <c r="C176" s="111"/>
      <c r="D176" s="111"/>
      <c r="E176" s="32"/>
      <c r="F176"/>
    </row>
    <row r="177" spans="1:6" s="33" customFormat="1" ht="15.75">
      <c r="A177" s="158"/>
      <c r="B177" s="148"/>
      <c r="C177" s="111"/>
      <c r="D177" s="111"/>
      <c r="E177" s="32"/>
      <c r="F177"/>
    </row>
    <row r="178" spans="1:6" s="33" customFormat="1" ht="15.75">
      <c r="A178" s="158"/>
      <c r="B178" s="148"/>
      <c r="C178" s="111"/>
      <c r="D178" s="111"/>
      <c r="E178" s="32"/>
      <c r="F178"/>
    </row>
    <row r="179" spans="1:6" s="33" customFormat="1" ht="15.75">
      <c r="A179" s="158"/>
      <c r="B179" s="148"/>
      <c r="C179" s="111"/>
      <c r="D179" s="111"/>
      <c r="E179" s="32"/>
      <c r="F179"/>
    </row>
    <row r="180" spans="1:6" s="33" customFormat="1" ht="15.75">
      <c r="A180" s="158"/>
      <c r="B180" s="148"/>
      <c r="C180" s="111"/>
      <c r="D180" s="111"/>
      <c r="E180" s="32"/>
      <c r="F180"/>
    </row>
    <row r="181" spans="1:6" s="33" customFormat="1" ht="15.75">
      <c r="A181" s="158"/>
      <c r="B181" s="148"/>
      <c r="C181" s="111"/>
      <c r="D181" s="111"/>
      <c r="E181" s="32"/>
      <c r="F181"/>
    </row>
    <row r="182" spans="1:6" s="33" customFormat="1" ht="15.75">
      <c r="A182" s="158"/>
      <c r="B182" s="148"/>
      <c r="C182" s="111"/>
      <c r="D182" s="111"/>
      <c r="E182" s="32"/>
      <c r="F182"/>
    </row>
    <row r="183" spans="1:6" s="33" customFormat="1" ht="15.75">
      <c r="A183" s="158"/>
      <c r="B183" s="148"/>
      <c r="C183" s="111"/>
      <c r="D183" s="111"/>
      <c r="E183" s="32"/>
      <c r="F183"/>
    </row>
    <row r="184" spans="1:6" s="33" customFormat="1" ht="15.75">
      <c r="A184" s="158"/>
      <c r="B184" s="148"/>
      <c r="C184" s="111"/>
      <c r="D184" s="111"/>
      <c r="E184" s="32"/>
      <c r="F184"/>
    </row>
    <row r="185" spans="1:6" s="33" customFormat="1" ht="15.75">
      <c r="A185" s="158"/>
      <c r="B185" s="148"/>
      <c r="C185" s="111"/>
      <c r="D185" s="111"/>
      <c r="E185" s="32"/>
      <c r="F185"/>
    </row>
    <row r="186" spans="1:6" s="33" customFormat="1" ht="15.75">
      <c r="A186" s="158"/>
      <c r="B186" s="148"/>
      <c r="C186" s="111"/>
      <c r="D186" s="111"/>
      <c r="E186" s="32"/>
      <c r="F186"/>
    </row>
    <row r="187" spans="1:6" s="33" customFormat="1" ht="15.75">
      <c r="A187" s="158"/>
      <c r="B187" s="148"/>
      <c r="C187" s="111"/>
      <c r="D187" s="111"/>
      <c r="E187" s="32"/>
      <c r="F187"/>
    </row>
    <row r="188" spans="1:6" s="33" customFormat="1" ht="15.75">
      <c r="A188" s="158"/>
      <c r="B188" s="148"/>
      <c r="C188" s="111"/>
      <c r="D188" s="111"/>
      <c r="E188" s="32"/>
      <c r="F188"/>
    </row>
    <row r="189" spans="1:6" s="33" customFormat="1" ht="15.75">
      <c r="A189" s="158"/>
      <c r="B189" s="148"/>
      <c r="C189" s="111"/>
      <c r="D189" s="111"/>
      <c r="E189" s="32"/>
      <c r="F189"/>
    </row>
    <row r="190" spans="1:6" s="33" customFormat="1" ht="15.75">
      <c r="A190" s="158"/>
      <c r="B190" s="148"/>
      <c r="C190" s="111"/>
      <c r="D190" s="111"/>
      <c r="E190" s="32"/>
      <c r="F190"/>
    </row>
    <row r="191" spans="1:6" s="33" customFormat="1" ht="15.75">
      <c r="A191" s="158"/>
      <c r="B191" s="148"/>
      <c r="C191" s="111"/>
      <c r="D191" s="111"/>
      <c r="E191" s="32"/>
      <c r="F191"/>
    </row>
    <row r="192" spans="1:6" s="33" customFormat="1" ht="15.75">
      <c r="A192" s="158"/>
      <c r="B192" s="148"/>
      <c r="C192" s="111"/>
      <c r="D192" s="111"/>
      <c r="E192" s="32"/>
      <c r="F192"/>
    </row>
    <row r="193" spans="1:6" s="33" customFormat="1" ht="15.75">
      <c r="A193" s="158"/>
      <c r="B193" s="148"/>
      <c r="C193" s="111"/>
      <c r="D193" s="111"/>
      <c r="E193" s="32"/>
      <c r="F193"/>
    </row>
    <row r="194" spans="1:6" s="33" customFormat="1" ht="15.75">
      <c r="A194" s="158"/>
      <c r="B194" s="148"/>
      <c r="C194" s="111"/>
      <c r="D194" s="111"/>
      <c r="E194" s="32"/>
      <c r="F194"/>
    </row>
    <row r="195" spans="1:6" s="33" customFormat="1" ht="15.75">
      <c r="A195" s="158"/>
      <c r="B195" s="148"/>
      <c r="C195" s="111"/>
      <c r="D195" s="111"/>
      <c r="E195" s="32"/>
      <c r="F195"/>
    </row>
    <row r="196" spans="1:6" s="33" customFormat="1" ht="15.75">
      <c r="A196" s="158"/>
      <c r="B196" s="148"/>
      <c r="C196" s="111"/>
      <c r="D196" s="111"/>
      <c r="E196" s="32"/>
      <c r="F196"/>
    </row>
    <row r="197" spans="1:6" s="33" customFormat="1" ht="15.75">
      <c r="A197" s="158"/>
      <c r="B197" s="148"/>
      <c r="C197" s="111"/>
      <c r="D197" s="111"/>
      <c r="E197" s="32"/>
      <c r="F197"/>
    </row>
    <row r="198" spans="1:6" s="33" customFormat="1" ht="15.75">
      <c r="A198" s="158"/>
      <c r="B198" s="148"/>
      <c r="C198" s="111"/>
      <c r="D198" s="111"/>
      <c r="E198" s="32"/>
      <c r="F198"/>
    </row>
    <row r="199" spans="1:6" s="33" customFormat="1" ht="15.75">
      <c r="A199" s="158"/>
      <c r="B199" s="148"/>
      <c r="C199" s="111"/>
      <c r="D199" s="111"/>
      <c r="E199" s="32"/>
      <c r="F199"/>
    </row>
    <row r="200" spans="1:6" s="33" customFormat="1" ht="15.75">
      <c r="A200" s="158"/>
      <c r="B200" s="148"/>
      <c r="C200" s="111"/>
      <c r="D200" s="111"/>
      <c r="E200" s="32"/>
      <c r="F200"/>
    </row>
    <row r="201" spans="1:6" s="33" customFormat="1" ht="15.75">
      <c r="A201" s="158"/>
      <c r="B201" s="148"/>
      <c r="C201" s="111"/>
      <c r="D201" s="111"/>
      <c r="E201" s="32"/>
      <c r="F201"/>
    </row>
    <row r="202" spans="1:6" s="33" customFormat="1" ht="15.75">
      <c r="A202" s="158"/>
      <c r="B202" s="148"/>
      <c r="C202" s="111"/>
      <c r="D202" s="111"/>
      <c r="E202" s="32"/>
      <c r="F202"/>
    </row>
    <row r="203" spans="1:6" s="33" customFormat="1" ht="15.75">
      <c r="A203" s="158"/>
      <c r="B203" s="148"/>
      <c r="C203" s="111"/>
      <c r="D203" s="111"/>
      <c r="E203" s="32"/>
      <c r="F203"/>
    </row>
    <row r="204" spans="1:6" s="33" customFormat="1" ht="15.75">
      <c r="A204" s="158"/>
      <c r="B204" s="148"/>
      <c r="C204" s="111"/>
      <c r="D204" s="111"/>
      <c r="E204" s="32"/>
      <c r="F204"/>
    </row>
    <row r="205" spans="1:6" s="33" customFormat="1" ht="15.75">
      <c r="A205" s="158"/>
      <c r="B205" s="148"/>
      <c r="C205" s="111"/>
      <c r="D205" s="111"/>
      <c r="E205" s="32"/>
      <c r="F205"/>
    </row>
    <row r="206" spans="1:6" s="33" customFormat="1" ht="15.75">
      <c r="A206" s="158"/>
      <c r="B206" s="148"/>
      <c r="C206" s="111"/>
      <c r="D206" s="111"/>
      <c r="E206" s="32"/>
      <c r="F206"/>
    </row>
    <row r="207" spans="1:6" s="33" customFormat="1" ht="15.75">
      <c r="A207" s="158"/>
      <c r="B207" s="148"/>
      <c r="C207" s="111"/>
      <c r="D207" s="111"/>
      <c r="E207" s="32"/>
      <c r="F207"/>
    </row>
    <row r="208" spans="1:6" s="33" customFormat="1" ht="15.75">
      <c r="A208" s="158"/>
      <c r="B208" s="148"/>
      <c r="C208" s="111"/>
      <c r="D208" s="111"/>
      <c r="E208" s="32"/>
      <c r="F208"/>
    </row>
    <row r="209" spans="1:6" s="33" customFormat="1" ht="15.75">
      <c r="A209" s="158"/>
      <c r="B209" s="148"/>
      <c r="C209" s="111"/>
      <c r="D209" s="111"/>
      <c r="E209" s="32"/>
      <c r="F209"/>
    </row>
    <row r="210" spans="1:6" s="33" customFormat="1" ht="15.75">
      <c r="A210" s="158"/>
      <c r="B210" s="148"/>
      <c r="C210" s="111"/>
      <c r="D210" s="111"/>
      <c r="E210" s="32"/>
      <c r="F210"/>
    </row>
    <row r="211" spans="1:6" s="33" customFormat="1" ht="15.75">
      <c r="A211" s="158"/>
      <c r="B211" s="148"/>
      <c r="C211" s="111"/>
      <c r="D211" s="111"/>
      <c r="E211" s="32"/>
      <c r="F211"/>
    </row>
    <row r="212" spans="1:6" s="33" customFormat="1" ht="15.75">
      <c r="A212" s="158"/>
      <c r="B212" s="148"/>
      <c r="C212" s="111"/>
      <c r="D212" s="111"/>
      <c r="E212" s="32"/>
      <c r="F212"/>
    </row>
    <row r="213" spans="1:6" s="33" customFormat="1" ht="15.75">
      <c r="A213" s="158"/>
      <c r="B213" s="148"/>
      <c r="C213" s="111"/>
      <c r="D213" s="111"/>
      <c r="E213" s="32"/>
      <c r="F213"/>
    </row>
    <row r="214" spans="1:6" s="33" customFormat="1" ht="15.75">
      <c r="A214" s="158"/>
      <c r="B214" s="148"/>
      <c r="C214" s="111"/>
      <c r="D214" s="111"/>
      <c r="E214" s="32"/>
      <c r="F214"/>
    </row>
    <row r="215" spans="1:6" s="33" customFormat="1" ht="15.75">
      <c r="A215" s="158"/>
      <c r="B215" s="148"/>
      <c r="C215" s="111"/>
      <c r="D215" s="111"/>
      <c r="E215" s="32"/>
      <c r="F215"/>
    </row>
    <row r="216" spans="1:6" s="33" customFormat="1" ht="15.75">
      <c r="A216" s="158"/>
      <c r="B216" s="148"/>
      <c r="C216" s="111"/>
      <c r="D216" s="111"/>
      <c r="E216" s="32"/>
      <c r="F216"/>
    </row>
    <row r="217" spans="1:6" s="33" customFormat="1" ht="15.75">
      <c r="A217" s="158"/>
      <c r="B217" s="148"/>
      <c r="C217" s="111"/>
      <c r="D217" s="111"/>
      <c r="E217" s="32"/>
      <c r="F217"/>
    </row>
    <row r="218" spans="1:6" s="33" customFormat="1" ht="15.75">
      <c r="A218" s="158"/>
      <c r="B218" s="148"/>
      <c r="C218" s="111"/>
      <c r="D218" s="111"/>
      <c r="E218" s="32"/>
      <c r="F218"/>
    </row>
    <row r="219" spans="1:6" s="33" customFormat="1" ht="15.75">
      <c r="A219" s="158"/>
      <c r="B219" s="148"/>
      <c r="C219" s="111"/>
      <c r="D219" s="111"/>
      <c r="E219" s="32"/>
      <c r="F219"/>
    </row>
    <row r="220" spans="1:6" s="33" customFormat="1" ht="15.75">
      <c r="A220" s="158"/>
      <c r="B220" s="148"/>
      <c r="C220" s="111"/>
      <c r="D220" s="111"/>
      <c r="E220" s="32"/>
      <c r="F220"/>
    </row>
    <row r="221" spans="1:6" s="33" customFormat="1" ht="15.75">
      <c r="A221" s="158"/>
      <c r="B221" s="148"/>
      <c r="C221" s="111"/>
      <c r="D221" s="111"/>
      <c r="E221" s="32"/>
      <c r="F221"/>
    </row>
    <row r="222" spans="1:6" s="33" customFormat="1" ht="15.75">
      <c r="A222" s="158"/>
      <c r="B222" s="148"/>
      <c r="C222" s="111"/>
      <c r="D222" s="111"/>
      <c r="E222" s="32"/>
      <c r="F222"/>
    </row>
    <row r="223" spans="1:6" s="33" customFormat="1" ht="15.75">
      <c r="A223" s="158"/>
      <c r="B223" s="148"/>
      <c r="C223" s="111"/>
      <c r="D223" s="111"/>
      <c r="E223" s="32"/>
      <c r="F223"/>
    </row>
    <row r="224" spans="1:6" s="33" customFormat="1" ht="15.75">
      <c r="A224" s="158"/>
      <c r="B224" s="148"/>
      <c r="C224" s="111"/>
      <c r="D224" s="111"/>
      <c r="E224" s="32"/>
      <c r="F224"/>
    </row>
    <row r="225" spans="1:6" s="33" customFormat="1" ht="15.75">
      <c r="A225" s="158"/>
      <c r="B225" s="148"/>
      <c r="C225" s="111"/>
      <c r="D225" s="111"/>
      <c r="E225" s="32"/>
      <c r="F225"/>
    </row>
    <row r="226" spans="1:6" s="33" customFormat="1" ht="15.75">
      <c r="A226" s="158"/>
      <c r="B226" s="148"/>
      <c r="C226" s="111"/>
      <c r="D226" s="111"/>
      <c r="E226" s="32"/>
      <c r="F226"/>
    </row>
    <row r="227" spans="1:6" s="33" customFormat="1" ht="15.75">
      <c r="A227" s="158"/>
      <c r="B227" s="148"/>
      <c r="C227" s="111"/>
      <c r="D227" s="111"/>
      <c r="E227" s="32"/>
      <c r="F227"/>
    </row>
    <row r="228" spans="1:6" s="33" customFormat="1" ht="15.75">
      <c r="A228" s="158"/>
      <c r="B228" s="148"/>
      <c r="C228" s="111"/>
      <c r="D228" s="111"/>
      <c r="E228" s="32"/>
      <c r="F228"/>
    </row>
    <row r="229" spans="1:6" s="33" customFormat="1" ht="15.75">
      <c r="A229" s="158"/>
      <c r="B229" s="148"/>
      <c r="C229" s="111"/>
      <c r="D229" s="111"/>
      <c r="E229" s="32"/>
      <c r="F229"/>
    </row>
    <row r="230" spans="1:6" s="33" customFormat="1" ht="15.75">
      <c r="A230" s="158"/>
      <c r="B230" s="148"/>
      <c r="C230" s="111"/>
      <c r="D230" s="111"/>
      <c r="E230" s="32"/>
      <c r="F230"/>
    </row>
    <row r="231" spans="1:6" s="33" customFormat="1" ht="15.75">
      <c r="A231" s="158"/>
      <c r="B231" s="148"/>
      <c r="C231" s="111"/>
      <c r="D231" s="111"/>
      <c r="E231" s="32"/>
      <c r="F231"/>
    </row>
    <row r="232" spans="1:6" s="33" customFormat="1" ht="15.75">
      <c r="A232" s="158"/>
      <c r="B232" s="148"/>
      <c r="C232" s="111"/>
      <c r="D232" s="111"/>
      <c r="E232" s="32"/>
      <c r="F232"/>
    </row>
    <row r="233" spans="1:6" s="33" customFormat="1" ht="15.75">
      <c r="A233" s="158"/>
      <c r="B233" s="148"/>
      <c r="C233" s="111"/>
      <c r="D233" s="111"/>
      <c r="E233" s="32"/>
      <c r="F233"/>
    </row>
    <row r="234" spans="1:6" s="33" customFormat="1" ht="15.75">
      <c r="A234" s="158"/>
      <c r="B234" s="148"/>
      <c r="C234" s="111"/>
      <c r="D234" s="111"/>
      <c r="E234" s="32"/>
      <c r="F234"/>
    </row>
    <row r="235" spans="1:6" s="33" customFormat="1" ht="15.75">
      <c r="A235" s="158"/>
      <c r="B235" s="148"/>
      <c r="C235" s="111"/>
      <c r="D235" s="111"/>
      <c r="E235" s="32"/>
      <c r="F235"/>
    </row>
    <row r="236" spans="1:6" s="33" customFormat="1" ht="15.75">
      <c r="A236" s="158"/>
      <c r="B236" s="148"/>
      <c r="C236" s="111"/>
      <c r="D236" s="111"/>
      <c r="E236" s="32"/>
      <c r="F236"/>
    </row>
    <row r="237" spans="1:6" s="33" customFormat="1" ht="15.75">
      <c r="A237" s="158"/>
      <c r="B237" s="148"/>
      <c r="C237" s="111"/>
      <c r="D237" s="111"/>
      <c r="E237" s="32"/>
      <c r="F237"/>
    </row>
    <row r="238" spans="1:6" s="33" customFormat="1" ht="15.75">
      <c r="A238" s="158"/>
      <c r="B238" s="148"/>
      <c r="C238" s="111"/>
      <c r="D238" s="111"/>
      <c r="E238" s="32"/>
      <c r="F238"/>
    </row>
    <row r="239" spans="1:6" s="33" customFormat="1" ht="15.75">
      <c r="A239" s="158"/>
      <c r="B239" s="148"/>
      <c r="C239" s="111"/>
      <c r="D239" s="111"/>
      <c r="E239" s="32"/>
      <c r="F239"/>
    </row>
    <row r="240" spans="1:6" s="33" customFormat="1" ht="15.75">
      <c r="A240" s="158"/>
      <c r="B240" s="148"/>
      <c r="C240" s="111"/>
      <c r="D240" s="111"/>
      <c r="E240" s="32"/>
      <c r="F240"/>
    </row>
    <row r="241" spans="1:6" s="33" customFormat="1" ht="15.75">
      <c r="A241" s="158"/>
      <c r="B241" s="148"/>
      <c r="C241" s="111"/>
      <c r="D241" s="111"/>
      <c r="E241" s="32"/>
      <c r="F241"/>
    </row>
    <row r="242" spans="1:6" s="33" customFormat="1" ht="15.75">
      <c r="A242" s="158"/>
      <c r="B242" s="148"/>
      <c r="C242" s="111"/>
      <c r="D242" s="111"/>
      <c r="E242" s="32"/>
      <c r="F242"/>
    </row>
    <row r="243" spans="1:6" s="33" customFormat="1" ht="15.75">
      <c r="A243" s="158"/>
      <c r="B243" s="148"/>
      <c r="C243" s="111"/>
      <c r="D243" s="111"/>
      <c r="E243" s="32"/>
      <c r="F243"/>
    </row>
    <row r="244" spans="1:6" s="33" customFormat="1" ht="15.75">
      <c r="A244" s="158"/>
      <c r="B244" s="148"/>
      <c r="C244" s="111"/>
      <c r="D244" s="111"/>
      <c r="E244" s="32"/>
      <c r="F244"/>
    </row>
    <row r="245" spans="1:6" s="33" customFormat="1" ht="15.75">
      <c r="A245" s="158"/>
      <c r="B245" s="148"/>
      <c r="C245" s="111"/>
      <c r="D245" s="111"/>
      <c r="E245" s="32"/>
      <c r="F245"/>
    </row>
    <row r="246" spans="1:6" s="33" customFormat="1" ht="15.75">
      <c r="A246" s="158"/>
      <c r="B246" s="148"/>
      <c r="C246" s="111"/>
      <c r="D246" s="111"/>
      <c r="E246" s="32"/>
      <c r="F246"/>
    </row>
    <row r="247" spans="1:6" s="33" customFormat="1" ht="15.75">
      <c r="A247" s="158"/>
      <c r="B247" s="148"/>
      <c r="C247" s="111"/>
      <c r="D247" s="111"/>
      <c r="E247" s="32"/>
      <c r="F247"/>
    </row>
    <row r="248" spans="1:6" s="33" customFormat="1" ht="15.75">
      <c r="A248" s="158"/>
      <c r="B248" s="148"/>
      <c r="C248" s="111"/>
      <c r="D248" s="111"/>
      <c r="E248" s="32"/>
      <c r="F248"/>
    </row>
    <row r="249" spans="1:6" s="33" customFormat="1" ht="15.75">
      <c r="A249" s="158"/>
      <c r="B249" s="148"/>
      <c r="C249" s="111"/>
      <c r="D249" s="111"/>
      <c r="E249" s="32"/>
      <c r="F249"/>
    </row>
    <row r="250" spans="1:6" s="33" customFormat="1" ht="15.75">
      <c r="A250" s="158"/>
      <c r="B250" s="148"/>
      <c r="C250" s="111"/>
      <c r="D250" s="111"/>
      <c r="E250" s="32"/>
      <c r="F250"/>
    </row>
    <row r="251" spans="1:6" s="33" customFormat="1" ht="15.75">
      <c r="A251" s="158"/>
      <c r="B251" s="148"/>
      <c r="C251" s="111"/>
      <c r="D251" s="111"/>
      <c r="E251" s="32"/>
      <c r="F251"/>
    </row>
    <row r="252" spans="1:6" s="33" customFormat="1" ht="15.75">
      <c r="A252" s="158"/>
      <c r="B252" s="148"/>
      <c r="C252" s="111"/>
      <c r="D252" s="111"/>
      <c r="E252" s="32"/>
      <c r="F252"/>
    </row>
    <row r="253" spans="1:6" s="33" customFormat="1" ht="15.75">
      <c r="A253" s="158"/>
      <c r="B253" s="148"/>
      <c r="C253" s="111"/>
      <c r="D253" s="111"/>
      <c r="E253" s="32"/>
      <c r="F253"/>
    </row>
    <row r="254" spans="1:6" s="33" customFormat="1" ht="15.75">
      <c r="A254" s="158"/>
      <c r="B254" s="148"/>
      <c r="C254" s="111"/>
      <c r="D254" s="111"/>
      <c r="E254" s="32"/>
      <c r="F254"/>
    </row>
    <row r="255" spans="1:6" s="33" customFormat="1" ht="15.75">
      <c r="A255" s="158"/>
      <c r="B255" s="148"/>
      <c r="C255" s="111"/>
      <c r="D255" s="111"/>
      <c r="E255" s="32"/>
      <c r="F255"/>
    </row>
    <row r="256" spans="1:6" s="33" customFormat="1" ht="15.75">
      <c r="A256" s="158"/>
      <c r="B256" s="148"/>
      <c r="C256" s="111"/>
      <c r="D256" s="111"/>
      <c r="E256" s="32"/>
      <c r="F256"/>
    </row>
    <row r="257" spans="1:6" s="33" customFormat="1" ht="15.75">
      <c r="A257" s="158"/>
      <c r="B257" s="148"/>
      <c r="C257" s="111"/>
      <c r="D257" s="111"/>
      <c r="E257" s="32"/>
      <c r="F257"/>
    </row>
    <row r="258" spans="1:6" s="33" customFormat="1" ht="15.75">
      <c r="A258" s="158"/>
      <c r="B258" s="148"/>
      <c r="C258" s="111"/>
      <c r="D258" s="111"/>
      <c r="E258" s="32"/>
      <c r="F258"/>
    </row>
    <row r="259" spans="1:6" s="33" customFormat="1" ht="15.75">
      <c r="A259" s="158"/>
      <c r="B259" s="148"/>
      <c r="C259" s="111"/>
      <c r="D259" s="111"/>
      <c r="E259" s="32"/>
      <c r="F259"/>
    </row>
    <row r="260" spans="1:6" s="33" customFormat="1" ht="15.75">
      <c r="A260" s="158"/>
      <c r="B260" s="148"/>
      <c r="C260" s="111"/>
      <c r="D260" s="111"/>
      <c r="E260" s="32"/>
      <c r="F260"/>
    </row>
    <row r="261" spans="1:6" s="33" customFormat="1" ht="15.75">
      <c r="A261" s="158"/>
      <c r="B261" s="148"/>
      <c r="C261" s="111"/>
      <c r="D261" s="111"/>
      <c r="E261" s="32"/>
      <c r="F261"/>
    </row>
    <row r="262" spans="1:6" s="33" customFormat="1" ht="15.75">
      <c r="A262" s="158"/>
      <c r="B262" s="148"/>
      <c r="C262" s="111"/>
      <c r="D262" s="111"/>
      <c r="E262" s="32"/>
      <c r="F262"/>
    </row>
    <row r="263" spans="1:6" s="33" customFormat="1" ht="15.75">
      <c r="A263" s="158"/>
      <c r="B263" s="148"/>
      <c r="C263" s="111"/>
      <c r="D263" s="111"/>
      <c r="E263" s="32"/>
      <c r="F263"/>
    </row>
    <row r="264" spans="1:6" s="33" customFormat="1" ht="15.75">
      <c r="A264" s="158"/>
      <c r="B264" s="148"/>
      <c r="C264" s="111"/>
      <c r="D264" s="111"/>
      <c r="E264" s="32"/>
      <c r="F264"/>
    </row>
    <row r="265" spans="1:6" s="33" customFormat="1" ht="15.75">
      <c r="A265" s="158"/>
      <c r="B265" s="148"/>
      <c r="C265" s="111"/>
      <c r="D265" s="111"/>
      <c r="E265" s="32"/>
      <c r="F265"/>
    </row>
    <row r="266" spans="1:6" s="33" customFormat="1" ht="15.75">
      <c r="A266" s="158"/>
      <c r="B266" s="148"/>
      <c r="C266" s="111"/>
      <c r="D266" s="111"/>
      <c r="E266" s="32"/>
      <c r="F266"/>
    </row>
    <row r="267" spans="1:6" s="33" customFormat="1" ht="15.75">
      <c r="A267" s="158"/>
      <c r="B267" s="148"/>
      <c r="C267" s="111"/>
      <c r="D267" s="111"/>
      <c r="E267" s="32"/>
      <c r="F267"/>
    </row>
    <row r="268" spans="1:6" s="33" customFormat="1" ht="15.75">
      <c r="A268" s="158"/>
      <c r="B268" s="148"/>
      <c r="C268" s="111"/>
      <c r="D268" s="111"/>
      <c r="E268" s="32"/>
      <c r="F268"/>
    </row>
    <row r="269" spans="1:6" s="33" customFormat="1" ht="15.75">
      <c r="A269" s="158"/>
      <c r="B269" s="148"/>
      <c r="C269" s="111"/>
      <c r="D269" s="111"/>
      <c r="E269" s="32"/>
      <c r="F269"/>
    </row>
    <row r="270" spans="1:6" s="33" customFormat="1" ht="15.75">
      <c r="A270" s="158"/>
      <c r="B270" s="148"/>
      <c r="C270" s="111"/>
      <c r="D270" s="111"/>
      <c r="E270" s="32"/>
      <c r="F270"/>
    </row>
    <row r="271" spans="1:6" s="33" customFormat="1" ht="15.75">
      <c r="A271" s="158"/>
      <c r="B271" s="148"/>
      <c r="C271" s="111"/>
      <c r="D271" s="111"/>
      <c r="E271" s="32"/>
      <c r="F271"/>
    </row>
    <row r="272" spans="1:6" s="33" customFormat="1" ht="15.75">
      <c r="A272" s="158"/>
      <c r="B272" s="148"/>
      <c r="C272" s="111"/>
      <c r="D272" s="111"/>
      <c r="E272" s="32"/>
      <c r="F272"/>
    </row>
    <row r="273" spans="1:6" s="33" customFormat="1" ht="15.75">
      <c r="A273" s="158"/>
      <c r="B273" s="148"/>
      <c r="C273" s="111"/>
      <c r="D273" s="111"/>
      <c r="E273" s="32"/>
      <c r="F273"/>
    </row>
    <row r="274" spans="1:6" s="33" customFormat="1" ht="15.75">
      <c r="A274" s="158"/>
      <c r="B274" s="148"/>
      <c r="C274" s="111"/>
      <c r="D274" s="111"/>
      <c r="E274" s="32"/>
      <c r="F274"/>
    </row>
    <row r="275" spans="1:6" s="33" customFormat="1" ht="15.75">
      <c r="A275" s="158"/>
      <c r="B275" s="148"/>
      <c r="C275" s="111"/>
      <c r="D275" s="111"/>
      <c r="E275" s="32"/>
      <c r="F275"/>
    </row>
    <row r="276" spans="1:6" s="33" customFormat="1" ht="15.75">
      <c r="A276" s="158"/>
      <c r="B276" s="148"/>
      <c r="C276" s="111"/>
      <c r="D276" s="111"/>
      <c r="E276" s="32"/>
      <c r="F276"/>
    </row>
    <row r="277" spans="1:6" s="33" customFormat="1" ht="15.75">
      <c r="A277" s="158"/>
      <c r="B277" s="148"/>
      <c r="C277" s="111"/>
      <c r="D277" s="111"/>
      <c r="E277" s="32"/>
      <c r="F277"/>
    </row>
    <row r="278" spans="1:6" s="33" customFormat="1" ht="15.75">
      <c r="A278" s="158"/>
      <c r="B278" s="148"/>
      <c r="C278" s="111"/>
      <c r="D278" s="111"/>
      <c r="E278" s="32"/>
      <c r="F278"/>
    </row>
    <row r="279" spans="1:6" s="33" customFormat="1" ht="15.75">
      <c r="A279" s="158"/>
      <c r="B279" s="148"/>
      <c r="C279" s="111"/>
      <c r="D279" s="111"/>
      <c r="E279" s="32"/>
      <c r="F279"/>
    </row>
    <row r="280" spans="1:6" s="33" customFormat="1" ht="15.75">
      <c r="A280" s="158"/>
      <c r="B280" s="148"/>
      <c r="C280" s="111"/>
      <c r="D280" s="111"/>
      <c r="E280" s="32"/>
      <c r="F280"/>
    </row>
    <row r="281" spans="1:6" s="33" customFormat="1" ht="15.75">
      <c r="A281" s="158"/>
      <c r="B281" s="148"/>
      <c r="C281" s="111"/>
      <c r="D281" s="111"/>
      <c r="E281" s="32"/>
      <c r="F281"/>
    </row>
    <row r="282" spans="1:6" s="33" customFormat="1" ht="15.75">
      <c r="A282" s="158"/>
      <c r="B282" s="148"/>
      <c r="C282" s="111"/>
      <c r="D282" s="111"/>
      <c r="E282" s="32"/>
      <c r="F282"/>
    </row>
    <row r="283" spans="1:6" s="33" customFormat="1" ht="15.75">
      <c r="A283" s="158"/>
      <c r="B283" s="148"/>
      <c r="C283" s="111"/>
      <c r="D283" s="111"/>
      <c r="E283" s="32"/>
      <c r="F283"/>
    </row>
    <row r="284" spans="1:6" s="33" customFormat="1" ht="15.75">
      <c r="A284" s="158"/>
      <c r="B284" s="148"/>
      <c r="C284" s="111"/>
      <c r="D284" s="111"/>
      <c r="E284" s="32"/>
      <c r="F284"/>
    </row>
    <row r="285" spans="1:6" s="33" customFormat="1" ht="15.75">
      <c r="A285" s="158"/>
      <c r="B285" s="148"/>
      <c r="C285" s="111"/>
      <c r="D285" s="111"/>
      <c r="E285" s="32"/>
      <c r="F285"/>
    </row>
    <row r="286" spans="1:6" s="33" customFormat="1" ht="15.75">
      <c r="A286" s="158"/>
      <c r="B286" s="148"/>
      <c r="C286" s="111"/>
      <c r="D286" s="111"/>
      <c r="E286" s="32"/>
      <c r="F286"/>
    </row>
    <row r="287" spans="1:6" s="33" customFormat="1" ht="15.75">
      <c r="A287" s="158"/>
      <c r="B287" s="148"/>
      <c r="C287" s="111"/>
      <c r="D287" s="111"/>
      <c r="E287" s="32"/>
      <c r="F287"/>
    </row>
    <row r="288" spans="1:6" s="33" customFormat="1" ht="15.75">
      <c r="A288" s="158"/>
      <c r="B288" s="148"/>
      <c r="C288" s="111"/>
      <c r="D288" s="111"/>
      <c r="E288" s="32"/>
      <c r="F288"/>
    </row>
    <row r="289" spans="1:6" s="33" customFormat="1" ht="15.75">
      <c r="A289" s="158"/>
      <c r="B289" s="148"/>
      <c r="C289" s="111"/>
      <c r="D289" s="111"/>
      <c r="E289" s="32"/>
      <c r="F289"/>
    </row>
    <row r="290" spans="1:6" s="33" customFormat="1" ht="15.75">
      <c r="A290" s="158"/>
      <c r="B290" s="148"/>
      <c r="C290" s="111"/>
      <c r="D290" s="111"/>
      <c r="E290" s="32"/>
      <c r="F290"/>
    </row>
    <row r="291" spans="1:6" s="33" customFormat="1" ht="15.75">
      <c r="A291" s="158"/>
      <c r="B291" s="148"/>
      <c r="C291" s="111"/>
      <c r="D291" s="111"/>
      <c r="E291" s="32"/>
      <c r="F291"/>
    </row>
    <row r="292" spans="1:6" s="33" customFormat="1" ht="15.75">
      <c r="A292" s="158"/>
      <c r="B292" s="148"/>
      <c r="C292" s="111"/>
      <c r="D292" s="111"/>
      <c r="E292" s="32"/>
      <c r="F292"/>
    </row>
    <row r="293" spans="1:6" s="33" customFormat="1" ht="15.75">
      <c r="A293" s="158"/>
      <c r="B293" s="148"/>
      <c r="C293" s="111"/>
      <c r="D293" s="111"/>
      <c r="E293" s="32"/>
      <c r="F293"/>
    </row>
    <row r="294" spans="1:6" s="33" customFormat="1" ht="15.75">
      <c r="A294" s="158"/>
      <c r="B294" s="148"/>
      <c r="C294" s="111"/>
      <c r="D294" s="111"/>
      <c r="E294" s="32"/>
      <c r="F294"/>
    </row>
    <row r="295" spans="1:6" s="33" customFormat="1" ht="15.75">
      <c r="A295" s="158"/>
      <c r="B295" s="148"/>
      <c r="C295" s="111"/>
      <c r="D295" s="111"/>
      <c r="E295" s="32"/>
      <c r="F295"/>
    </row>
    <row r="296" spans="1:6" s="33" customFormat="1" ht="15.75">
      <c r="A296" s="158"/>
      <c r="B296" s="148"/>
      <c r="C296" s="111"/>
      <c r="D296" s="111"/>
      <c r="E296" s="32"/>
      <c r="F296"/>
    </row>
    <row r="297" spans="1:6" s="33" customFormat="1" ht="15.75">
      <c r="A297" s="158"/>
      <c r="B297" s="148"/>
      <c r="C297" s="111"/>
      <c r="D297" s="111"/>
      <c r="E297" s="32"/>
      <c r="F297"/>
    </row>
    <row r="298" spans="1:6" s="33" customFormat="1" ht="15.75">
      <c r="A298" s="158"/>
      <c r="B298" s="148"/>
      <c r="C298" s="111"/>
      <c r="D298" s="111"/>
      <c r="E298" s="32"/>
      <c r="F298"/>
    </row>
    <row r="299" spans="1:6" s="33" customFormat="1" ht="15.75">
      <c r="A299" s="158"/>
      <c r="B299" s="148"/>
      <c r="C299" s="111"/>
      <c r="D299" s="111"/>
      <c r="E299" s="32"/>
      <c r="F299"/>
    </row>
    <row r="300" spans="1:6" s="33" customFormat="1" ht="15.75">
      <c r="A300" s="158"/>
      <c r="B300" s="148"/>
      <c r="C300" s="111"/>
      <c r="D300" s="111"/>
      <c r="E300" s="32"/>
      <c r="F300"/>
    </row>
    <row r="301" spans="1:6" s="33" customFormat="1" ht="15.75">
      <c r="A301" s="158"/>
      <c r="B301" s="148"/>
      <c r="C301" s="111"/>
      <c r="D301" s="111"/>
      <c r="E301" s="32"/>
      <c r="F301"/>
    </row>
    <row r="302" spans="1:6" s="33" customFormat="1" ht="15.75">
      <c r="A302" s="158"/>
      <c r="B302" s="148"/>
      <c r="C302" s="111"/>
      <c r="D302" s="111"/>
      <c r="E302" s="32"/>
      <c r="F302"/>
    </row>
    <row r="303" spans="1:6" s="33" customFormat="1" ht="15.75">
      <c r="A303" s="158"/>
      <c r="B303" s="148"/>
      <c r="C303" s="111"/>
      <c r="D303" s="111"/>
      <c r="E303" s="32"/>
      <c r="F303"/>
    </row>
    <row r="304" spans="1:6" s="33" customFormat="1" ht="15.75">
      <c r="A304" s="158"/>
      <c r="B304" s="148"/>
      <c r="C304" s="111"/>
      <c r="D304" s="111"/>
      <c r="E304" s="32"/>
      <c r="F304"/>
    </row>
    <row r="305" spans="1:6" s="33" customFormat="1" ht="15.75">
      <c r="A305" s="158"/>
      <c r="B305" s="148"/>
      <c r="C305" s="111"/>
      <c r="D305" s="111"/>
      <c r="E305" s="32"/>
      <c r="F305"/>
    </row>
    <row r="306" spans="1:6" s="33" customFormat="1" ht="15.75">
      <c r="A306" s="158"/>
      <c r="B306" s="148"/>
      <c r="C306" s="111"/>
      <c r="D306" s="111"/>
      <c r="E306" s="32"/>
      <c r="F306"/>
    </row>
    <row r="307" spans="1:6" s="33" customFormat="1" ht="15.75">
      <c r="A307" s="158"/>
      <c r="B307" s="148"/>
      <c r="C307" s="111"/>
      <c r="D307" s="111"/>
      <c r="E307" s="32"/>
      <c r="F307"/>
    </row>
    <row r="308" spans="1:6" s="33" customFormat="1" ht="15.75">
      <c r="A308" s="158"/>
      <c r="B308" s="148"/>
      <c r="C308" s="111"/>
      <c r="D308" s="111"/>
      <c r="E308" s="32"/>
      <c r="F308"/>
    </row>
    <row r="309" spans="1:6" s="33" customFormat="1" ht="15.75">
      <c r="A309" s="158"/>
      <c r="B309" s="148"/>
      <c r="C309" s="111"/>
      <c r="D309" s="111"/>
      <c r="E309" s="32"/>
      <c r="F309"/>
    </row>
    <row r="310" spans="1:6" s="33" customFormat="1" ht="15.75">
      <c r="A310" s="158"/>
      <c r="B310" s="148"/>
      <c r="C310" s="111"/>
      <c r="D310" s="111"/>
      <c r="E310" s="32"/>
      <c r="F310"/>
    </row>
    <row r="311" spans="1:6" s="33" customFormat="1" ht="15.75">
      <c r="A311" s="158"/>
      <c r="B311" s="148"/>
      <c r="C311" s="111"/>
      <c r="D311" s="111"/>
      <c r="E311" s="32"/>
      <c r="F311"/>
    </row>
    <row r="312" spans="1:6" s="33" customFormat="1" ht="15.75">
      <c r="A312" s="158"/>
      <c r="B312" s="148"/>
      <c r="C312" s="111"/>
      <c r="D312" s="111"/>
      <c r="E312" s="32"/>
      <c r="F312"/>
    </row>
    <row r="313" spans="1:6" s="33" customFormat="1" ht="15.75">
      <c r="A313" s="158"/>
      <c r="B313" s="148"/>
      <c r="C313" s="111"/>
      <c r="D313" s="111"/>
      <c r="E313" s="32"/>
      <c r="F313"/>
    </row>
    <row r="314" spans="1:6" s="33" customFormat="1" ht="15.75">
      <c r="A314" s="158"/>
      <c r="B314" s="148"/>
      <c r="C314" s="111"/>
      <c r="D314" s="111"/>
      <c r="E314" s="32"/>
      <c r="F314"/>
    </row>
    <row r="315" spans="1:6" s="33" customFormat="1" ht="15.75">
      <c r="A315" s="158"/>
      <c r="B315" s="148"/>
      <c r="C315" s="111"/>
      <c r="D315" s="111"/>
      <c r="E315" s="32"/>
      <c r="F315"/>
    </row>
    <row r="316" spans="1:6" s="33" customFormat="1" ht="15.75">
      <c r="A316" s="158"/>
      <c r="B316" s="148"/>
      <c r="C316" s="111"/>
      <c r="D316" s="111"/>
      <c r="E316" s="32"/>
      <c r="F316"/>
    </row>
    <row r="317" spans="1:6" s="33" customFormat="1" ht="15.75">
      <c r="A317" s="158"/>
      <c r="B317" s="148"/>
      <c r="C317" s="111"/>
      <c r="D317" s="111"/>
      <c r="E317" s="32"/>
      <c r="F317"/>
    </row>
    <row r="318" spans="1:6" s="33" customFormat="1" ht="15.75">
      <c r="A318" s="158"/>
      <c r="B318" s="148"/>
      <c r="C318" s="111"/>
      <c r="D318" s="111"/>
      <c r="E318" s="32"/>
      <c r="F318"/>
    </row>
    <row r="319" spans="1:6" s="33" customFormat="1" ht="15.75">
      <c r="A319" s="158"/>
      <c r="B319" s="148"/>
      <c r="C319" s="111"/>
      <c r="D319" s="111"/>
      <c r="E319" s="32"/>
      <c r="F319"/>
    </row>
    <row r="320" spans="1:6" s="33" customFormat="1" ht="15.75">
      <c r="A320" s="158"/>
      <c r="B320" s="148"/>
      <c r="C320" s="111"/>
      <c r="D320" s="111"/>
      <c r="E320" s="32"/>
      <c r="F320"/>
    </row>
    <row r="321" spans="1:6" s="33" customFormat="1" ht="15.75">
      <c r="A321" s="158"/>
      <c r="B321" s="148"/>
      <c r="C321" s="111"/>
      <c r="D321" s="111"/>
      <c r="E321" s="32"/>
      <c r="F321"/>
    </row>
    <row r="322" spans="1:6" s="33" customFormat="1" ht="15.75">
      <c r="A322" s="158"/>
      <c r="B322" s="148"/>
      <c r="C322" s="111"/>
      <c r="D322" s="111"/>
      <c r="E322" s="32"/>
      <c r="F322"/>
    </row>
    <row r="323" spans="1:6" s="33" customFormat="1" ht="15.75">
      <c r="A323" s="158"/>
      <c r="B323" s="148"/>
      <c r="C323" s="111"/>
      <c r="D323" s="111"/>
      <c r="E323" s="32"/>
      <c r="F323"/>
    </row>
    <row r="324" spans="1:6" s="33" customFormat="1" ht="15.75">
      <c r="A324" s="158"/>
      <c r="B324" s="148"/>
      <c r="C324" s="111"/>
      <c r="D324" s="111"/>
      <c r="E324" s="32"/>
      <c r="F324"/>
    </row>
    <row r="325" spans="1:6" s="33" customFormat="1" ht="15.75">
      <c r="A325" s="158"/>
      <c r="B325" s="148"/>
      <c r="C325" s="111"/>
      <c r="D325" s="111"/>
      <c r="E325" s="32"/>
      <c r="F325"/>
    </row>
    <row r="326" spans="1:6" s="33" customFormat="1" ht="15.75">
      <c r="A326" s="158"/>
      <c r="B326" s="148"/>
      <c r="C326" s="111"/>
      <c r="D326" s="111"/>
      <c r="E326" s="32"/>
      <c r="F326"/>
    </row>
    <row r="327" spans="1:6" s="33" customFormat="1" ht="15.75">
      <c r="A327" s="158"/>
      <c r="B327" s="148"/>
      <c r="C327" s="111"/>
      <c r="D327" s="111"/>
      <c r="E327" s="32"/>
      <c r="F327"/>
    </row>
    <row r="328" spans="1:6" s="33" customFormat="1" ht="15.75">
      <c r="A328" s="158"/>
      <c r="B328" s="148"/>
      <c r="C328" s="111"/>
      <c r="D328" s="111"/>
      <c r="E328" s="32"/>
      <c r="F328"/>
    </row>
    <row r="329" spans="1:6" s="33" customFormat="1" ht="15.75">
      <c r="A329" s="158"/>
      <c r="B329" s="148"/>
      <c r="C329" s="111"/>
      <c r="D329" s="111"/>
      <c r="E329" s="32"/>
      <c r="F329"/>
    </row>
    <row r="330" spans="1:6" s="33" customFormat="1" ht="15.75">
      <c r="A330" s="158"/>
      <c r="B330" s="148"/>
      <c r="C330" s="111"/>
      <c r="D330" s="111"/>
      <c r="E330" s="32"/>
      <c r="F330"/>
    </row>
    <row r="331" spans="1:6" s="33" customFormat="1" ht="15.75">
      <c r="A331" s="158"/>
      <c r="B331" s="148"/>
      <c r="C331" s="111"/>
      <c r="D331" s="111"/>
      <c r="E331" s="32"/>
      <c r="F331"/>
    </row>
    <row r="332" spans="1:6" s="33" customFormat="1" ht="15.75">
      <c r="A332" s="158"/>
      <c r="B332" s="148"/>
      <c r="C332" s="111"/>
      <c r="D332" s="111"/>
      <c r="E332" s="32"/>
      <c r="F332"/>
    </row>
    <row r="333" spans="1:6" s="33" customFormat="1" ht="15.75">
      <c r="A333" s="158"/>
      <c r="B333" s="148"/>
      <c r="C333" s="111"/>
      <c r="D333" s="111"/>
      <c r="E333" s="32"/>
      <c r="F333"/>
    </row>
    <row r="334" spans="1:6" s="33" customFormat="1" ht="15.75">
      <c r="A334" s="158"/>
      <c r="B334" s="148"/>
      <c r="C334" s="111"/>
      <c r="D334" s="111"/>
      <c r="E334" s="32"/>
      <c r="F334"/>
    </row>
    <row r="335" spans="1:6" s="33" customFormat="1" ht="15.75">
      <c r="A335" s="158"/>
      <c r="B335" s="148"/>
      <c r="C335" s="111"/>
      <c r="D335" s="111"/>
      <c r="E335" s="32"/>
      <c r="F335"/>
    </row>
    <row r="336" spans="1:6" s="33" customFormat="1" ht="15.75">
      <c r="A336" s="158"/>
      <c r="B336" s="148"/>
      <c r="C336" s="111"/>
      <c r="D336" s="111"/>
      <c r="E336" s="32"/>
      <c r="F336"/>
    </row>
    <row r="337" spans="1:6" s="33" customFormat="1" ht="15.75">
      <c r="A337" s="158"/>
      <c r="B337" s="148"/>
      <c r="C337" s="111"/>
      <c r="D337" s="111"/>
      <c r="E337" s="32"/>
      <c r="F337"/>
    </row>
    <row r="338" spans="1:6" s="33" customFormat="1" ht="15.75">
      <c r="A338" s="158"/>
      <c r="B338" s="148"/>
      <c r="C338" s="111"/>
      <c r="D338" s="111"/>
      <c r="E338" s="32"/>
      <c r="F338"/>
    </row>
    <row r="339" spans="1:6" s="33" customFormat="1" ht="15.75">
      <c r="A339" s="158"/>
      <c r="B339" s="148"/>
      <c r="C339" s="111"/>
      <c r="D339" s="111"/>
      <c r="E339" s="32"/>
      <c r="F339"/>
    </row>
    <row r="340" spans="1:6" s="33" customFormat="1" ht="15.75">
      <c r="A340" s="158"/>
      <c r="B340" s="148"/>
      <c r="C340" s="111"/>
      <c r="D340" s="111"/>
      <c r="E340" s="32"/>
      <c r="F340"/>
    </row>
    <row r="341" spans="1:6" s="33" customFormat="1" ht="15.75">
      <c r="A341" s="158"/>
      <c r="B341" s="148"/>
      <c r="C341" s="111"/>
      <c r="D341" s="111"/>
      <c r="E341" s="32"/>
      <c r="F341"/>
    </row>
    <row r="342" spans="1:6" s="33" customFormat="1" ht="15.75">
      <c r="A342" s="158"/>
      <c r="B342" s="148"/>
      <c r="C342" s="111"/>
      <c r="D342" s="111"/>
      <c r="E342" s="32"/>
      <c r="F342"/>
    </row>
    <row r="343" spans="1:6" s="33" customFormat="1" ht="15.75">
      <c r="A343" s="158"/>
      <c r="B343" s="148"/>
      <c r="C343" s="111"/>
      <c r="D343" s="111"/>
      <c r="E343" s="32"/>
      <c r="F343"/>
    </row>
    <row r="344" spans="1:6" s="33" customFormat="1" ht="15.75">
      <c r="A344" s="158"/>
      <c r="B344" s="148"/>
      <c r="C344" s="111"/>
      <c r="D344" s="111"/>
      <c r="E344" s="32"/>
      <c r="F344"/>
    </row>
    <row r="345" spans="1:6" s="33" customFormat="1" ht="15.75">
      <c r="A345" s="158"/>
      <c r="B345" s="148"/>
      <c r="C345" s="111"/>
      <c r="D345" s="111"/>
      <c r="E345" s="32"/>
      <c r="F345"/>
    </row>
    <row r="346" spans="1:6" s="33" customFormat="1" ht="15.75">
      <c r="A346" s="158"/>
      <c r="B346" s="148"/>
      <c r="C346" s="111"/>
      <c r="D346" s="111"/>
      <c r="E346" s="32"/>
      <c r="F346"/>
    </row>
    <row r="347" spans="1:6" s="33" customFormat="1" ht="15.75">
      <c r="A347" s="158"/>
      <c r="B347" s="148"/>
      <c r="C347" s="111"/>
      <c r="D347" s="111"/>
      <c r="E347" s="32"/>
      <c r="F347"/>
    </row>
    <row r="348" spans="1:6" s="33" customFormat="1" ht="15.75">
      <c r="A348" s="158"/>
      <c r="B348" s="148"/>
      <c r="C348" s="111"/>
      <c r="D348" s="111"/>
      <c r="E348" s="32"/>
      <c r="F348"/>
    </row>
    <row r="349" spans="1:6" s="33" customFormat="1" ht="15.75">
      <c r="A349" s="158"/>
      <c r="B349" s="148"/>
      <c r="C349" s="111"/>
      <c r="D349" s="111"/>
      <c r="E349" s="32"/>
      <c r="F349"/>
    </row>
    <row r="350" spans="1:6" s="33" customFormat="1" ht="15.75">
      <c r="A350" s="158"/>
      <c r="B350" s="148"/>
      <c r="C350" s="111"/>
      <c r="D350" s="111"/>
      <c r="E350" s="32"/>
      <c r="F350"/>
    </row>
    <row r="351" spans="1:6" s="33" customFormat="1" ht="15.75">
      <c r="A351" s="158"/>
      <c r="B351" s="148"/>
      <c r="C351" s="111"/>
      <c r="D351" s="111"/>
      <c r="E351" s="32"/>
      <c r="F351"/>
    </row>
    <row r="352" spans="1:6" s="33" customFormat="1" ht="15.75">
      <c r="A352" s="158"/>
      <c r="B352" s="148"/>
      <c r="C352" s="111"/>
      <c r="D352" s="111"/>
      <c r="E352" s="32"/>
      <c r="F352"/>
    </row>
    <row r="353" spans="1:6" s="33" customFormat="1" ht="15.75">
      <c r="A353" s="158"/>
      <c r="B353" s="148"/>
      <c r="C353" s="111"/>
      <c r="D353" s="111"/>
      <c r="E353" s="32"/>
      <c r="F353"/>
    </row>
    <row r="354" spans="1:6" s="33" customFormat="1" ht="15.75">
      <c r="A354" s="158"/>
      <c r="B354" s="148"/>
      <c r="C354" s="111"/>
      <c r="D354" s="111"/>
      <c r="E354" s="32"/>
      <c r="F354"/>
    </row>
    <row r="355" spans="1:6" s="33" customFormat="1" ht="15.75">
      <c r="A355" s="158"/>
      <c r="B355" s="148"/>
      <c r="C355" s="111"/>
      <c r="D355" s="111"/>
      <c r="E355" s="32"/>
      <c r="F355"/>
    </row>
    <row r="356" spans="1:6" s="33" customFormat="1" ht="15.75">
      <c r="A356" s="158"/>
      <c r="B356" s="148"/>
      <c r="C356" s="111"/>
      <c r="D356" s="111"/>
      <c r="E356" s="32"/>
      <c r="F356"/>
    </row>
    <row r="357" spans="1:6" s="33" customFormat="1" ht="15.75">
      <c r="A357" s="158"/>
      <c r="B357" s="148"/>
      <c r="C357" s="111"/>
      <c r="D357" s="111"/>
      <c r="E357" s="32"/>
      <c r="F357"/>
    </row>
    <row r="358" spans="1:6" s="33" customFormat="1" ht="15.75">
      <c r="A358" s="158"/>
      <c r="B358" s="148"/>
      <c r="C358" s="111"/>
      <c r="D358" s="111"/>
      <c r="E358" s="32"/>
      <c r="F358"/>
    </row>
    <row r="359" spans="1:6" s="33" customFormat="1" ht="15.75">
      <c r="A359" s="158"/>
      <c r="B359" s="148"/>
      <c r="C359" s="111"/>
      <c r="D359" s="111"/>
      <c r="E359" s="32"/>
      <c r="F359"/>
    </row>
    <row r="360" spans="1:6" s="33" customFormat="1" ht="15.75">
      <c r="A360" s="158"/>
      <c r="B360" s="148"/>
      <c r="C360" s="111"/>
      <c r="D360" s="111"/>
      <c r="E360" s="32"/>
      <c r="F360"/>
    </row>
    <row r="361" spans="1:6" s="33" customFormat="1" ht="15.75">
      <c r="A361" s="158"/>
      <c r="B361" s="148"/>
      <c r="C361" s="111"/>
      <c r="D361" s="111"/>
      <c r="E361" s="32"/>
      <c r="F361"/>
    </row>
    <row r="362" spans="1:6" s="33" customFormat="1" ht="15.75">
      <c r="A362" s="158"/>
      <c r="B362" s="148"/>
      <c r="C362" s="111"/>
      <c r="D362" s="111"/>
      <c r="E362" s="32"/>
      <c r="F362"/>
    </row>
    <row r="363" spans="1:6" s="33" customFormat="1" ht="15.75">
      <c r="A363" s="158"/>
      <c r="B363" s="148"/>
      <c r="C363" s="111"/>
      <c r="D363" s="111"/>
      <c r="E363" s="32"/>
      <c r="F363"/>
    </row>
    <row r="364" spans="1:6" s="33" customFormat="1" ht="15.75">
      <c r="A364" s="158"/>
      <c r="B364" s="148"/>
      <c r="C364" s="111"/>
      <c r="D364" s="111"/>
      <c r="E364" s="32"/>
      <c r="F364"/>
    </row>
    <row r="365" spans="1:6" s="33" customFormat="1" ht="15.75">
      <c r="A365" s="158"/>
      <c r="B365" s="148"/>
      <c r="C365" s="111"/>
      <c r="D365" s="111"/>
      <c r="E365" s="32"/>
      <c r="F365"/>
    </row>
    <row r="366" spans="1:6" s="33" customFormat="1" ht="15.75">
      <c r="A366" s="158"/>
      <c r="B366" s="148"/>
      <c r="C366" s="111"/>
      <c r="D366" s="111"/>
      <c r="E366" s="32"/>
      <c r="F366"/>
    </row>
    <row r="367" spans="1:6" s="33" customFormat="1" ht="15.75">
      <c r="A367" s="158"/>
      <c r="B367" s="148"/>
      <c r="C367" s="111"/>
      <c r="D367" s="111"/>
      <c r="E367" s="32"/>
      <c r="F367"/>
    </row>
    <row r="368" spans="1:6" s="33" customFormat="1" ht="15.75">
      <c r="A368" s="158"/>
      <c r="B368" s="148"/>
      <c r="C368" s="111"/>
      <c r="D368" s="111"/>
      <c r="E368" s="32"/>
      <c r="F368"/>
    </row>
    <row r="369" spans="1:6" s="33" customFormat="1" ht="15.75">
      <c r="A369" s="158"/>
      <c r="B369" s="148"/>
      <c r="C369" s="111"/>
      <c r="D369" s="111"/>
      <c r="E369" s="32"/>
      <c r="F369"/>
    </row>
    <row r="370" spans="1:6" s="33" customFormat="1" ht="15.75">
      <c r="A370" s="158"/>
      <c r="B370" s="148"/>
      <c r="C370" s="111"/>
      <c r="D370" s="111"/>
      <c r="E370" s="32"/>
      <c r="F370"/>
    </row>
    <row r="371" spans="1:6" s="33" customFormat="1" ht="15.75">
      <c r="A371" s="158"/>
      <c r="B371" s="148"/>
      <c r="C371" s="111"/>
      <c r="D371" s="111"/>
      <c r="E371" s="32"/>
      <c r="F371"/>
    </row>
    <row r="372" spans="1:6" s="33" customFormat="1" ht="15.75">
      <c r="A372" s="158"/>
      <c r="B372" s="148"/>
      <c r="C372" s="111"/>
      <c r="D372" s="111"/>
      <c r="E372" s="32"/>
      <c r="F372"/>
    </row>
    <row r="373" spans="1:6" s="33" customFormat="1" ht="15.75">
      <c r="A373" s="158"/>
      <c r="B373" s="148"/>
      <c r="C373" s="111"/>
      <c r="D373" s="111"/>
      <c r="E373" s="32"/>
      <c r="F373"/>
    </row>
    <row r="374" spans="1:6" s="33" customFormat="1" ht="15.75">
      <c r="A374" s="158"/>
      <c r="B374" s="148"/>
      <c r="C374" s="111"/>
      <c r="D374" s="111"/>
      <c r="E374" s="32"/>
      <c r="F374"/>
    </row>
    <row r="375" spans="1:6" s="33" customFormat="1" ht="15.75">
      <c r="A375" s="158"/>
      <c r="B375" s="148"/>
      <c r="C375" s="111"/>
      <c r="D375" s="111"/>
      <c r="E375" s="32"/>
      <c r="F375"/>
    </row>
    <row r="376" spans="1:6" s="33" customFormat="1" ht="15.75">
      <c r="A376" s="158"/>
      <c r="B376" s="148"/>
      <c r="C376" s="111"/>
      <c r="D376" s="111"/>
      <c r="E376" s="32"/>
      <c r="F376"/>
    </row>
    <row r="377" spans="1:6" s="33" customFormat="1" ht="15.75">
      <c r="A377" s="158"/>
      <c r="B377" s="148"/>
      <c r="C377" s="111"/>
      <c r="D377" s="111"/>
      <c r="E377" s="32"/>
      <c r="F377"/>
    </row>
    <row r="378" spans="1:6" s="33" customFormat="1" ht="15.75">
      <c r="A378" s="158"/>
      <c r="B378" s="148"/>
      <c r="C378" s="111"/>
      <c r="D378" s="111"/>
      <c r="E378" s="32"/>
      <c r="F378"/>
    </row>
    <row r="379" spans="1:6" s="33" customFormat="1" ht="15.75">
      <c r="A379" s="158"/>
      <c r="B379" s="148"/>
      <c r="C379" s="111"/>
      <c r="D379" s="111"/>
      <c r="E379" s="32"/>
      <c r="F379"/>
    </row>
    <row r="380" spans="1:6" s="33" customFormat="1" ht="15.75">
      <c r="A380" s="158"/>
      <c r="B380" s="148"/>
      <c r="C380" s="111"/>
      <c r="D380" s="111"/>
      <c r="E380" s="32"/>
      <c r="F380"/>
    </row>
    <row r="381" spans="1:6" s="33" customFormat="1" ht="15.75">
      <c r="A381" s="158"/>
      <c r="B381" s="148"/>
      <c r="C381" s="111"/>
      <c r="D381" s="111"/>
      <c r="E381" s="32"/>
      <c r="F381"/>
    </row>
    <row r="382" spans="1:6" s="33" customFormat="1" ht="15.75">
      <c r="A382" s="158"/>
      <c r="B382" s="148"/>
      <c r="C382" s="111"/>
      <c r="D382" s="111"/>
      <c r="E382" s="32"/>
      <c r="F382"/>
    </row>
    <row r="383" spans="1:6" s="33" customFormat="1" ht="15.75">
      <c r="A383" s="158"/>
      <c r="B383" s="148"/>
      <c r="C383" s="111"/>
      <c r="D383" s="111"/>
      <c r="E383" s="32"/>
      <c r="F383"/>
    </row>
    <row r="384" spans="1:6" s="33" customFormat="1" ht="15.75">
      <c r="A384" s="158"/>
      <c r="B384" s="148"/>
      <c r="C384" s="111"/>
      <c r="D384" s="111"/>
      <c r="E384" s="32"/>
      <c r="F384"/>
    </row>
    <row r="385" spans="1:6" s="33" customFormat="1" ht="15.75">
      <c r="A385" s="158"/>
      <c r="B385" s="148"/>
      <c r="C385" s="111"/>
      <c r="D385" s="111"/>
      <c r="E385" s="32"/>
      <c r="F385"/>
    </row>
    <row r="386" spans="1:6" s="33" customFormat="1" ht="15.75">
      <c r="A386" s="158"/>
      <c r="B386" s="148"/>
      <c r="C386" s="111"/>
      <c r="D386" s="111"/>
      <c r="E386" s="32"/>
      <c r="F386"/>
    </row>
    <row r="387" spans="1:6" s="33" customFormat="1" ht="15.75">
      <c r="A387" s="158"/>
      <c r="B387" s="148"/>
      <c r="C387" s="111"/>
      <c r="D387" s="111"/>
      <c r="E387" s="32"/>
      <c r="F387"/>
    </row>
    <row r="388" spans="1:6" s="33" customFormat="1" ht="15.75">
      <c r="A388" s="158"/>
      <c r="B388" s="148"/>
      <c r="C388" s="111"/>
      <c r="D388" s="111"/>
      <c r="E388" s="32"/>
      <c r="F388"/>
    </row>
    <row r="389" spans="1:6" s="33" customFormat="1" ht="15.75">
      <c r="A389" s="158"/>
      <c r="B389" s="148"/>
      <c r="C389" s="111"/>
      <c r="D389" s="111"/>
      <c r="E389" s="32"/>
      <c r="F389"/>
    </row>
    <row r="390" spans="1:6" s="33" customFormat="1" ht="15.75">
      <c r="A390" s="158"/>
      <c r="B390" s="148"/>
      <c r="C390" s="111"/>
      <c r="D390" s="111"/>
      <c r="E390" s="32"/>
      <c r="F390"/>
    </row>
    <row r="391" spans="1:6" s="33" customFormat="1" ht="15.75">
      <c r="A391" s="158"/>
      <c r="B391" s="148"/>
      <c r="C391" s="111"/>
      <c r="D391" s="111"/>
      <c r="E391" s="32"/>
      <c r="F391"/>
    </row>
    <row r="392" spans="1:6" s="33" customFormat="1" ht="15.75">
      <c r="A392" s="158"/>
      <c r="B392" s="148"/>
      <c r="C392" s="111"/>
      <c r="D392" s="111"/>
      <c r="E392" s="32"/>
      <c r="F392"/>
    </row>
    <row r="393" spans="1:6" s="33" customFormat="1" ht="15.75">
      <c r="A393" s="158"/>
      <c r="B393" s="148"/>
      <c r="C393" s="111"/>
      <c r="D393" s="111"/>
      <c r="E393" s="32"/>
      <c r="F393"/>
    </row>
    <row r="394" spans="1:6" s="33" customFormat="1" ht="15.75">
      <c r="A394" s="158"/>
      <c r="B394" s="148"/>
      <c r="C394" s="111"/>
      <c r="D394" s="111"/>
      <c r="E394" s="32"/>
      <c r="F394"/>
    </row>
    <row r="395" spans="1:6" s="33" customFormat="1" ht="15.75">
      <c r="A395" s="158"/>
      <c r="B395" s="148"/>
      <c r="C395" s="111"/>
      <c r="D395" s="111"/>
      <c r="E395" s="32"/>
      <c r="F395"/>
    </row>
    <row r="396" spans="1:6" s="33" customFormat="1" ht="15.75">
      <c r="A396" s="158"/>
      <c r="B396" s="148"/>
      <c r="C396" s="111"/>
      <c r="D396" s="111"/>
      <c r="E396" s="32"/>
      <c r="F396"/>
    </row>
    <row r="397" spans="1:6" s="33" customFormat="1" ht="15.75">
      <c r="A397" s="158"/>
      <c r="B397" s="148"/>
      <c r="C397" s="111"/>
      <c r="D397" s="111"/>
      <c r="E397" s="32"/>
      <c r="F397"/>
    </row>
    <row r="398" spans="1:6" s="33" customFormat="1" ht="15.75">
      <c r="A398" s="158"/>
      <c r="B398" s="148"/>
      <c r="C398" s="111"/>
      <c r="D398" s="111"/>
      <c r="E398" s="32"/>
      <c r="F398"/>
    </row>
    <row r="399" spans="1:6" s="33" customFormat="1" ht="15.75">
      <c r="A399" s="158"/>
      <c r="B399" s="148"/>
      <c r="C399" s="111"/>
      <c r="D399" s="111"/>
      <c r="E399" s="32"/>
      <c r="F399"/>
    </row>
    <row r="400" spans="1:6" s="33" customFormat="1" ht="15.75">
      <c r="A400" s="158"/>
      <c r="B400" s="148"/>
      <c r="C400" s="111"/>
      <c r="D400" s="111"/>
      <c r="E400" s="32"/>
      <c r="F400"/>
    </row>
    <row r="401" spans="1:6" s="33" customFormat="1" ht="15.75">
      <c r="A401" s="158"/>
      <c r="B401" s="148"/>
      <c r="C401" s="111"/>
      <c r="D401" s="111"/>
      <c r="E401" s="32"/>
      <c r="F401"/>
    </row>
    <row r="402" spans="1:6" s="33" customFormat="1" ht="15.75">
      <c r="A402" s="158"/>
      <c r="B402" s="148"/>
      <c r="C402" s="111"/>
      <c r="D402" s="111"/>
      <c r="E402" s="32"/>
      <c r="F402"/>
    </row>
    <row r="403" spans="1:6" s="33" customFormat="1" ht="15.75">
      <c r="A403" s="158"/>
      <c r="B403" s="148"/>
      <c r="C403" s="111"/>
      <c r="D403" s="111"/>
      <c r="E403" s="32"/>
      <c r="F403"/>
    </row>
    <row r="404" spans="1:6" s="33" customFormat="1" ht="15.75">
      <c r="A404" s="158"/>
      <c r="B404" s="148"/>
      <c r="C404" s="111"/>
      <c r="D404" s="111"/>
      <c r="E404" s="32"/>
      <c r="F404"/>
    </row>
    <row r="405" spans="1:6" s="33" customFormat="1" ht="15.75">
      <c r="A405" s="158"/>
      <c r="B405" s="148"/>
      <c r="C405" s="111"/>
      <c r="D405" s="111"/>
      <c r="E405" s="32"/>
      <c r="F405"/>
    </row>
    <row r="406" spans="1:6" s="33" customFormat="1" ht="15.75">
      <c r="A406" s="158"/>
      <c r="B406" s="148"/>
      <c r="C406" s="111"/>
      <c r="D406" s="111"/>
      <c r="E406" s="32"/>
      <c r="F406"/>
    </row>
    <row r="407" spans="1:6" s="33" customFormat="1" ht="15.75">
      <c r="A407" s="158"/>
      <c r="B407" s="148"/>
      <c r="C407" s="111"/>
      <c r="D407" s="111"/>
      <c r="E407" s="32"/>
      <c r="F407"/>
    </row>
    <row r="408" spans="1:6" s="33" customFormat="1" ht="15.75">
      <c r="A408" s="158"/>
      <c r="B408" s="148"/>
      <c r="C408" s="111"/>
      <c r="D408" s="111"/>
      <c r="E408" s="32"/>
      <c r="F408"/>
    </row>
    <row r="409" spans="1:6" s="33" customFormat="1" ht="15.75">
      <c r="A409" s="158"/>
      <c r="B409" s="148"/>
      <c r="C409" s="111"/>
      <c r="D409" s="111"/>
      <c r="E409" s="32"/>
      <c r="F409"/>
    </row>
    <row r="410" spans="1:6" s="33" customFormat="1" ht="15.75">
      <c r="A410" s="158"/>
      <c r="B410" s="148"/>
      <c r="C410" s="111"/>
      <c r="D410" s="111"/>
      <c r="E410" s="32"/>
      <c r="F410"/>
    </row>
    <row r="411" spans="1:6" s="33" customFormat="1" ht="15.75">
      <c r="A411" s="158"/>
      <c r="B411" s="148"/>
      <c r="C411" s="111"/>
      <c r="D411" s="111"/>
      <c r="E411" s="32"/>
      <c r="F411"/>
    </row>
    <row r="412" spans="1:6" s="33" customFormat="1" ht="15.75">
      <c r="A412" s="158"/>
      <c r="B412" s="148"/>
      <c r="C412" s="111"/>
      <c r="D412" s="111"/>
      <c r="E412" s="32"/>
      <c r="F412"/>
    </row>
    <row r="413" spans="1:6" s="33" customFormat="1" ht="15.75">
      <c r="A413" s="158"/>
      <c r="B413" s="148"/>
      <c r="C413" s="111"/>
      <c r="D413" s="111"/>
      <c r="E413" s="32"/>
      <c r="F413"/>
    </row>
    <row r="414" spans="1:6" s="33" customFormat="1" ht="15.75">
      <c r="A414" s="158"/>
      <c r="B414" s="148"/>
      <c r="C414" s="111"/>
      <c r="D414" s="111"/>
      <c r="E414" s="32"/>
      <c r="F414"/>
    </row>
    <row r="415" spans="1:6" s="33" customFormat="1" ht="15.75">
      <c r="A415" s="158"/>
      <c r="B415" s="148"/>
      <c r="C415" s="111"/>
      <c r="D415" s="111"/>
      <c r="E415" s="32"/>
      <c r="F415"/>
    </row>
    <row r="416" spans="1:6" s="33" customFormat="1" ht="15.75">
      <c r="A416" s="158"/>
      <c r="B416" s="148"/>
      <c r="C416" s="111"/>
      <c r="D416" s="111"/>
      <c r="E416" s="32"/>
      <c r="F416"/>
    </row>
    <row r="417" spans="1:6" s="33" customFormat="1" ht="15.75">
      <c r="A417" s="158"/>
      <c r="B417" s="148"/>
      <c r="C417" s="111"/>
      <c r="D417" s="111"/>
      <c r="E417" s="32"/>
      <c r="F417"/>
    </row>
    <row r="418" spans="1:6" s="33" customFormat="1" ht="15.75">
      <c r="A418" s="158"/>
      <c r="B418" s="148"/>
      <c r="C418" s="111"/>
      <c r="D418" s="111"/>
      <c r="E418" s="32"/>
      <c r="F418"/>
    </row>
    <row r="419" spans="1:6" s="33" customFormat="1" ht="15.75">
      <c r="A419" s="158"/>
      <c r="B419" s="148"/>
      <c r="C419" s="111"/>
      <c r="D419" s="111"/>
      <c r="E419" s="32"/>
      <c r="F419"/>
    </row>
    <row r="420" spans="1:6" s="33" customFormat="1" ht="15.75">
      <c r="A420" s="158"/>
      <c r="B420" s="148"/>
      <c r="C420" s="111"/>
      <c r="D420" s="111"/>
      <c r="E420" s="32"/>
      <c r="F420"/>
    </row>
    <row r="421" spans="1:6" s="33" customFormat="1" ht="15.75">
      <c r="A421" s="158"/>
      <c r="B421" s="148"/>
      <c r="C421" s="111"/>
      <c r="D421" s="111"/>
      <c r="E421" s="32"/>
      <c r="F421"/>
    </row>
    <row r="422" spans="1:6" s="33" customFormat="1" ht="15.75">
      <c r="A422" s="158"/>
      <c r="B422" s="148"/>
      <c r="C422" s="111"/>
      <c r="D422" s="111"/>
      <c r="E422" s="32"/>
      <c r="F422"/>
    </row>
    <row r="423" spans="1:6" s="33" customFormat="1" ht="15.75">
      <c r="A423" s="158"/>
      <c r="B423" s="148"/>
      <c r="C423" s="111"/>
      <c r="D423" s="111"/>
      <c r="E423" s="32"/>
      <c r="F423"/>
    </row>
    <row r="424" spans="1:6" s="33" customFormat="1" ht="15.75">
      <c r="A424" s="158"/>
      <c r="B424" s="148"/>
      <c r="C424" s="111"/>
      <c r="D424" s="111"/>
      <c r="E424" s="32"/>
      <c r="F424"/>
    </row>
    <row r="425" spans="1:6" s="33" customFormat="1" ht="15.75">
      <c r="A425" s="158"/>
      <c r="B425" s="148"/>
      <c r="C425" s="111"/>
      <c r="D425" s="111"/>
      <c r="E425" s="32"/>
      <c r="F425"/>
    </row>
    <row r="426" spans="1:6" s="33" customFormat="1" ht="15.75">
      <c r="A426" s="158"/>
      <c r="B426" s="148"/>
      <c r="C426" s="111"/>
      <c r="D426" s="111"/>
      <c r="E426" s="32"/>
      <c r="F426"/>
    </row>
    <row r="427" spans="1:6" s="33" customFormat="1" ht="15.75">
      <c r="A427" s="158"/>
      <c r="B427" s="148"/>
      <c r="C427" s="111"/>
      <c r="D427" s="111"/>
      <c r="E427" s="32"/>
      <c r="F427"/>
    </row>
    <row r="428" spans="1:6" s="33" customFormat="1" ht="15.75">
      <c r="A428" s="158"/>
      <c r="B428" s="148"/>
      <c r="C428" s="111"/>
      <c r="D428" s="111"/>
      <c r="E428" s="32"/>
      <c r="F428"/>
    </row>
    <row r="429" spans="1:6" s="33" customFormat="1" ht="15.75">
      <c r="A429" s="158"/>
      <c r="B429" s="148"/>
      <c r="C429" s="111"/>
      <c r="D429" s="111"/>
      <c r="E429" s="32"/>
      <c r="F429"/>
    </row>
    <row r="430" spans="1:6" s="33" customFormat="1" ht="15.75">
      <c r="A430" s="158"/>
      <c r="B430" s="148"/>
      <c r="C430" s="111"/>
      <c r="D430" s="111"/>
      <c r="E430" s="32"/>
      <c r="F430"/>
    </row>
    <row r="431" spans="1:6" s="33" customFormat="1" ht="15.75">
      <c r="A431" s="158"/>
      <c r="B431" s="148"/>
      <c r="C431" s="111"/>
      <c r="D431" s="111"/>
      <c r="E431" s="32"/>
      <c r="F431"/>
    </row>
    <row r="432" spans="1:6" s="33" customFormat="1" ht="15.75">
      <c r="A432" s="158"/>
      <c r="B432" s="148"/>
      <c r="C432" s="111"/>
      <c r="D432" s="111"/>
      <c r="E432" s="32"/>
      <c r="F432"/>
    </row>
    <row r="433" spans="1:6" s="33" customFormat="1" ht="15.75">
      <c r="A433" s="158"/>
      <c r="B433" s="148"/>
      <c r="C433" s="111"/>
      <c r="D433" s="111"/>
      <c r="E433" s="32"/>
      <c r="F433"/>
    </row>
    <row r="434" spans="1:6" s="33" customFormat="1" ht="15.75">
      <c r="A434" s="158"/>
      <c r="B434" s="148"/>
      <c r="C434" s="111"/>
      <c r="D434" s="111"/>
      <c r="E434" s="32"/>
      <c r="F434"/>
    </row>
    <row r="435" spans="1:6" s="33" customFormat="1" ht="15.75">
      <c r="A435" s="158"/>
      <c r="B435" s="148"/>
      <c r="C435" s="111"/>
      <c r="D435" s="111"/>
      <c r="E435" s="32"/>
      <c r="F435"/>
    </row>
    <row r="436" spans="1:6" s="33" customFormat="1" ht="15.75">
      <c r="A436" s="158"/>
      <c r="B436" s="148"/>
      <c r="C436" s="111"/>
      <c r="D436" s="111"/>
      <c r="E436" s="32"/>
      <c r="F436"/>
    </row>
    <row r="437" spans="1:6" s="33" customFormat="1" ht="15.75">
      <c r="A437" s="158"/>
      <c r="B437" s="148"/>
      <c r="C437" s="111"/>
      <c r="D437" s="111"/>
      <c r="E437" s="32"/>
      <c r="F437"/>
    </row>
    <row r="438" spans="1:6" s="33" customFormat="1" ht="15.75">
      <c r="A438" s="158"/>
      <c r="B438" s="148"/>
      <c r="C438" s="111"/>
      <c r="D438" s="111"/>
      <c r="E438" s="32"/>
      <c r="F438"/>
    </row>
    <row r="439" spans="1:6" s="33" customFormat="1" ht="15.75">
      <c r="A439" s="158"/>
      <c r="B439" s="148"/>
      <c r="C439" s="111"/>
      <c r="D439" s="111"/>
      <c r="E439" s="32"/>
      <c r="F439"/>
    </row>
    <row r="440" spans="1:6" s="33" customFormat="1" ht="15.75">
      <c r="A440" s="158"/>
      <c r="B440" s="148"/>
      <c r="C440" s="111"/>
      <c r="D440" s="111"/>
      <c r="E440" s="32"/>
      <c r="F440"/>
    </row>
    <row r="441" spans="1:6" s="33" customFormat="1" ht="15.75">
      <c r="A441" s="158"/>
      <c r="B441" s="148"/>
      <c r="C441" s="111"/>
      <c r="D441" s="111"/>
      <c r="E441" s="32"/>
      <c r="F441"/>
    </row>
    <row r="442" spans="1:6" s="33" customFormat="1" ht="15.75">
      <c r="A442" s="158"/>
      <c r="B442" s="148"/>
      <c r="C442" s="111"/>
      <c r="D442" s="111"/>
      <c r="E442" s="32"/>
      <c r="F442"/>
    </row>
    <row r="443" spans="1:6" s="33" customFormat="1" ht="15.75">
      <c r="A443" s="158"/>
      <c r="B443" s="148"/>
      <c r="C443" s="111"/>
      <c r="D443" s="111"/>
      <c r="E443" s="32"/>
      <c r="F443"/>
    </row>
    <row r="444" spans="1:6" s="33" customFormat="1" ht="15.75">
      <c r="A444" s="158"/>
      <c r="B444" s="148"/>
      <c r="C444" s="111"/>
      <c r="D444" s="111"/>
      <c r="E444" s="32"/>
      <c r="F444"/>
    </row>
    <row r="445" spans="1:6" s="33" customFormat="1" ht="15.75">
      <c r="A445" s="158"/>
      <c r="B445" s="148"/>
      <c r="C445" s="111"/>
      <c r="D445" s="111"/>
      <c r="E445" s="32"/>
      <c r="F445"/>
    </row>
    <row r="446" spans="1:6" s="33" customFormat="1" ht="15.75">
      <c r="A446" s="158"/>
      <c r="B446" s="148"/>
      <c r="C446" s="111"/>
      <c r="D446" s="111"/>
      <c r="E446" s="32"/>
      <c r="F446"/>
    </row>
    <row r="447" spans="1:6" s="33" customFormat="1" ht="15.75">
      <c r="A447" s="158"/>
      <c r="B447" s="148"/>
      <c r="C447" s="111"/>
      <c r="D447" s="111"/>
      <c r="E447" s="32"/>
      <c r="F447"/>
    </row>
    <row r="448" spans="1:6" s="33" customFormat="1" ht="15.75">
      <c r="A448" s="158"/>
      <c r="B448" s="148"/>
      <c r="C448" s="111"/>
      <c r="D448" s="111"/>
      <c r="E448" s="32"/>
      <c r="F448"/>
    </row>
    <row r="449" spans="1:6" s="33" customFormat="1" ht="15.75">
      <c r="A449" s="158"/>
      <c r="B449" s="148"/>
      <c r="C449" s="111"/>
      <c r="D449" s="111"/>
      <c r="E449" s="32"/>
      <c r="F449"/>
    </row>
    <row r="450" spans="1:6" s="33" customFormat="1" ht="15.75">
      <c r="A450" s="158"/>
      <c r="B450" s="148"/>
      <c r="C450" s="111"/>
      <c r="D450" s="111"/>
      <c r="E450" s="32"/>
      <c r="F450"/>
    </row>
    <row r="451" spans="1:6" s="33" customFormat="1" ht="15.75">
      <c r="A451" s="158"/>
      <c r="B451" s="148"/>
      <c r="C451" s="111"/>
      <c r="D451" s="111"/>
      <c r="E451" s="32"/>
      <c r="F451"/>
    </row>
    <row r="452" spans="1:6" s="33" customFormat="1" ht="15.75">
      <c r="A452" s="158"/>
      <c r="B452" s="148"/>
      <c r="C452" s="111"/>
      <c r="D452" s="111"/>
      <c r="E452" s="32"/>
      <c r="F452"/>
    </row>
    <row r="453" spans="1:6" s="33" customFormat="1" ht="15.75">
      <c r="A453" s="158"/>
      <c r="B453" s="148"/>
      <c r="C453" s="111"/>
      <c r="D453" s="111"/>
      <c r="E453" s="32"/>
      <c r="F453"/>
    </row>
    <row r="454" spans="1:6" s="33" customFormat="1" ht="15.75">
      <c r="A454" s="158"/>
      <c r="B454" s="148"/>
      <c r="C454" s="111"/>
      <c r="D454" s="111"/>
      <c r="E454" s="32"/>
      <c r="F454"/>
    </row>
    <row r="455" spans="1:6" s="33" customFormat="1" ht="15.75">
      <c r="A455" s="158"/>
      <c r="B455" s="148"/>
      <c r="C455" s="111"/>
      <c r="D455" s="111"/>
      <c r="E455" s="32"/>
      <c r="F455"/>
    </row>
    <row r="456" spans="1:6" s="33" customFormat="1" ht="15.75">
      <c r="A456" s="158"/>
      <c r="B456" s="148"/>
      <c r="C456" s="111"/>
      <c r="D456" s="111"/>
      <c r="E456" s="32"/>
      <c r="F456"/>
    </row>
    <row r="457" spans="1:6" s="33" customFormat="1" ht="15.75">
      <c r="A457" s="158"/>
      <c r="B457" s="148"/>
      <c r="C457" s="111"/>
      <c r="D457" s="111"/>
      <c r="E457" s="32"/>
      <c r="F457"/>
    </row>
    <row r="458" spans="1:6" s="33" customFormat="1" ht="15.75">
      <c r="A458" s="158"/>
      <c r="B458" s="148"/>
      <c r="C458" s="111"/>
      <c r="D458" s="111"/>
      <c r="E458" s="32"/>
      <c r="F458"/>
    </row>
    <row r="459" spans="1:6" s="33" customFormat="1" ht="15.75">
      <c r="A459" s="158"/>
      <c r="B459" s="148"/>
      <c r="C459" s="111"/>
      <c r="D459" s="111"/>
      <c r="E459" s="32"/>
      <c r="F459"/>
    </row>
    <row r="460" spans="1:6" s="33" customFormat="1" ht="15.75">
      <c r="A460" s="158"/>
      <c r="B460" s="148"/>
      <c r="C460" s="111"/>
      <c r="D460" s="111"/>
      <c r="E460" s="32"/>
      <c r="F460"/>
    </row>
    <row r="461" spans="1:6" s="33" customFormat="1" ht="15.75">
      <c r="A461" s="158"/>
      <c r="B461" s="148"/>
      <c r="C461" s="111"/>
      <c r="D461" s="111"/>
      <c r="E461" s="32"/>
      <c r="F461"/>
    </row>
    <row r="462" spans="1:6" s="33" customFormat="1" ht="15.75">
      <c r="A462" s="158"/>
      <c r="B462" s="148"/>
      <c r="C462" s="111"/>
      <c r="D462" s="111"/>
      <c r="E462" s="32"/>
      <c r="F462"/>
    </row>
    <row r="463" spans="1:6" s="33" customFormat="1" ht="15.75">
      <c r="A463" s="158"/>
      <c r="B463" s="148"/>
      <c r="C463" s="111"/>
      <c r="D463" s="111"/>
      <c r="E463" s="32"/>
      <c r="F463"/>
    </row>
    <row r="464" spans="1:6" s="33" customFormat="1" ht="15.75">
      <c r="A464" s="158"/>
      <c r="B464" s="148"/>
      <c r="C464" s="111"/>
      <c r="D464" s="111"/>
      <c r="E464" s="32"/>
      <c r="F464"/>
    </row>
    <row r="465" spans="1:6" s="33" customFormat="1" ht="15.75">
      <c r="A465" s="158"/>
      <c r="B465" s="148"/>
      <c r="C465" s="111"/>
      <c r="D465" s="111"/>
      <c r="E465" s="32"/>
      <c r="F465"/>
    </row>
    <row r="466" spans="1:6" s="33" customFormat="1" ht="15.75">
      <c r="A466" s="158"/>
      <c r="B466" s="148"/>
      <c r="C466" s="111"/>
      <c r="D466" s="111"/>
      <c r="E466" s="32"/>
      <c r="F466"/>
    </row>
    <row r="467" spans="1:6" s="33" customFormat="1" ht="15.75">
      <c r="A467" s="158"/>
      <c r="B467" s="148"/>
      <c r="C467" s="111"/>
      <c r="D467" s="111"/>
      <c r="E467" s="32"/>
      <c r="F467"/>
    </row>
    <row r="468" spans="1:6" s="33" customFormat="1" ht="15.75">
      <c r="A468" s="158"/>
      <c r="B468" s="148"/>
      <c r="C468" s="111"/>
      <c r="D468" s="111"/>
      <c r="E468" s="32"/>
      <c r="F468"/>
    </row>
    <row r="469" spans="1:6" s="33" customFormat="1" ht="15.75">
      <c r="A469" s="158"/>
      <c r="B469" s="148"/>
      <c r="C469" s="111"/>
      <c r="D469" s="111"/>
      <c r="E469" s="32"/>
      <c r="F469"/>
    </row>
    <row r="470" spans="1:6" s="33" customFormat="1" ht="15.75">
      <c r="A470" s="158"/>
      <c r="B470" s="148"/>
      <c r="C470" s="111"/>
      <c r="D470" s="111"/>
      <c r="E470" s="32"/>
      <c r="F470"/>
    </row>
    <row r="471" spans="1:6" s="33" customFormat="1" ht="15.75">
      <c r="A471" s="158"/>
      <c r="B471" s="148"/>
      <c r="C471" s="111"/>
      <c r="D471" s="111"/>
      <c r="E471" s="32"/>
      <c r="F471"/>
    </row>
    <row r="472" spans="1:6" s="33" customFormat="1" ht="15.75">
      <c r="A472" s="158"/>
      <c r="B472" s="148"/>
      <c r="C472" s="111"/>
      <c r="D472" s="111"/>
      <c r="E472" s="32"/>
      <c r="F472"/>
    </row>
    <row r="473" spans="1:6" s="33" customFormat="1" ht="15.75">
      <c r="A473" s="158"/>
      <c r="B473" s="148"/>
      <c r="C473" s="111"/>
      <c r="D473" s="111"/>
      <c r="E473" s="32"/>
      <c r="F473"/>
    </row>
    <row r="474" spans="1:6" s="33" customFormat="1" ht="15.75">
      <c r="A474" s="158"/>
      <c r="B474" s="148"/>
      <c r="C474" s="111"/>
      <c r="D474" s="111"/>
      <c r="E474" s="32"/>
      <c r="F474"/>
    </row>
    <row r="475" spans="1:6" s="33" customFormat="1" ht="15.75">
      <c r="A475" s="158"/>
      <c r="B475" s="148"/>
      <c r="C475" s="111"/>
      <c r="D475" s="111"/>
      <c r="E475" s="32"/>
      <c r="F475"/>
    </row>
    <row r="476" spans="1:6" s="33" customFormat="1" ht="15.75">
      <c r="A476" s="158"/>
      <c r="B476" s="148"/>
      <c r="C476" s="111"/>
      <c r="D476" s="111"/>
      <c r="E476" s="32"/>
      <c r="F476"/>
    </row>
    <row r="477" spans="1:6" s="33" customFormat="1" ht="15.75">
      <c r="A477" s="158"/>
      <c r="B477" s="148"/>
      <c r="C477" s="111"/>
      <c r="D477" s="111"/>
      <c r="E477" s="32"/>
      <c r="F477"/>
    </row>
    <row r="478" spans="1:6" s="33" customFormat="1" ht="15.75">
      <c r="A478" s="158"/>
      <c r="B478" s="148"/>
      <c r="C478" s="111"/>
      <c r="D478" s="111"/>
      <c r="E478" s="32"/>
      <c r="F478"/>
    </row>
    <row r="479" spans="1:6" s="33" customFormat="1" ht="15.75">
      <c r="A479" s="158"/>
      <c r="B479" s="148"/>
      <c r="C479" s="111"/>
      <c r="D479" s="111"/>
      <c r="E479" s="32"/>
      <c r="F479"/>
    </row>
    <row r="480" spans="1:6" s="33" customFormat="1" ht="15.75">
      <c r="A480" s="158"/>
      <c r="B480" s="148"/>
      <c r="C480" s="111"/>
      <c r="D480" s="111"/>
      <c r="E480" s="32"/>
      <c r="F480"/>
    </row>
    <row r="481" spans="1:6" s="33" customFormat="1" ht="15.75">
      <c r="A481" s="158"/>
      <c r="B481" s="148"/>
      <c r="C481" s="111"/>
      <c r="D481" s="111"/>
      <c r="E481" s="32"/>
      <c r="F481"/>
    </row>
    <row r="482" spans="1:6" s="33" customFormat="1" ht="15.75">
      <c r="A482" s="158"/>
      <c r="B482" s="148"/>
      <c r="C482" s="111"/>
      <c r="D482" s="111"/>
      <c r="E482" s="32"/>
      <c r="F482"/>
    </row>
    <row r="483" spans="1:6" s="33" customFormat="1" ht="15.75">
      <c r="A483" s="158"/>
      <c r="B483" s="148"/>
      <c r="C483" s="111"/>
      <c r="D483" s="111"/>
      <c r="E483" s="32"/>
      <c r="F483"/>
    </row>
    <row r="484" spans="1:6" s="33" customFormat="1" ht="15.75">
      <c r="A484" s="158"/>
      <c r="B484" s="148"/>
      <c r="C484" s="111"/>
      <c r="D484" s="111"/>
      <c r="E484" s="32"/>
      <c r="F484"/>
    </row>
    <row r="485" spans="1:6" s="33" customFormat="1" ht="15.75">
      <c r="A485" s="158"/>
      <c r="B485" s="148"/>
      <c r="C485" s="111"/>
      <c r="D485" s="111"/>
      <c r="E485" s="32"/>
      <c r="F485"/>
    </row>
    <row r="486" spans="1:6" s="33" customFormat="1" ht="15.75">
      <c r="A486" s="158"/>
      <c r="B486" s="148"/>
      <c r="C486" s="111"/>
      <c r="D486" s="111"/>
      <c r="E486" s="32"/>
      <c r="F486"/>
    </row>
    <row r="487" spans="1:6" s="33" customFormat="1" ht="15.75">
      <c r="A487" s="158"/>
      <c r="B487" s="148"/>
      <c r="C487" s="111"/>
      <c r="D487" s="111"/>
      <c r="E487" s="32"/>
      <c r="F487"/>
    </row>
    <row r="488" spans="1:6" s="33" customFormat="1" ht="15.75">
      <c r="A488" s="158"/>
      <c r="B488" s="148"/>
      <c r="C488" s="111"/>
      <c r="D488" s="111"/>
      <c r="E488" s="32"/>
      <c r="F488"/>
    </row>
    <row r="489" spans="1:6" s="33" customFormat="1" ht="15.75">
      <c r="A489" s="158"/>
      <c r="B489" s="148"/>
      <c r="C489" s="111"/>
      <c r="D489" s="111"/>
      <c r="E489" s="32"/>
      <c r="F489"/>
    </row>
    <row r="490" spans="1:6" s="33" customFormat="1" ht="15.75">
      <c r="A490" s="158"/>
      <c r="B490" s="148"/>
      <c r="C490" s="111"/>
      <c r="D490" s="111"/>
      <c r="E490" s="32"/>
      <c r="F490"/>
    </row>
    <row r="491" spans="1:6" s="33" customFormat="1" ht="15.75">
      <c r="A491" s="158"/>
      <c r="B491" s="148"/>
      <c r="C491" s="111"/>
      <c r="D491" s="111"/>
      <c r="E491" s="32"/>
      <c r="F491"/>
    </row>
    <row r="492" spans="1:6" s="33" customFormat="1" ht="15.75">
      <c r="A492" s="158"/>
      <c r="B492" s="148"/>
      <c r="C492" s="111"/>
      <c r="D492" s="111"/>
      <c r="E492" s="32"/>
      <c r="F492"/>
    </row>
    <row r="493" spans="1:6" s="33" customFormat="1" ht="15.75">
      <c r="A493" s="158"/>
      <c r="B493" s="148"/>
      <c r="C493" s="111"/>
      <c r="D493" s="111"/>
      <c r="E493" s="32"/>
      <c r="F493"/>
    </row>
    <row r="494" spans="1:6" s="33" customFormat="1" ht="15.75">
      <c r="A494" s="158"/>
      <c r="B494" s="148"/>
      <c r="C494" s="111"/>
      <c r="D494" s="111"/>
      <c r="E494" s="32"/>
      <c r="F494"/>
    </row>
    <row r="495" spans="1:6" s="33" customFormat="1" ht="15.75">
      <c r="A495" s="158"/>
      <c r="B495" s="148"/>
      <c r="C495" s="111"/>
      <c r="D495" s="111"/>
      <c r="E495" s="32"/>
      <c r="F495"/>
    </row>
    <row r="496" spans="1:6" s="33" customFormat="1" ht="15.75">
      <c r="A496" s="158"/>
      <c r="B496" s="148"/>
      <c r="C496" s="111"/>
      <c r="D496" s="111"/>
      <c r="E496" s="32"/>
      <c r="F496"/>
    </row>
    <row r="497" spans="1:6" s="33" customFormat="1" ht="15.75">
      <c r="A497" s="158"/>
      <c r="B497" s="148"/>
      <c r="C497" s="111"/>
      <c r="D497" s="111"/>
      <c r="E497" s="32"/>
      <c r="F497"/>
    </row>
    <row r="498" spans="1:6" s="33" customFormat="1" ht="15.75">
      <c r="A498" s="158"/>
      <c r="B498" s="148"/>
      <c r="C498" s="111"/>
      <c r="D498" s="111"/>
      <c r="E498" s="32"/>
      <c r="F498"/>
    </row>
    <row r="499" spans="1:6" s="33" customFormat="1" ht="15.75">
      <c r="A499" s="158"/>
      <c r="B499" s="148"/>
      <c r="C499" s="111"/>
      <c r="D499" s="111"/>
      <c r="E499" s="32"/>
      <c r="F499"/>
    </row>
    <row r="500" spans="1:6" s="33" customFormat="1" ht="15.75">
      <c r="A500" s="158"/>
      <c r="B500" s="148"/>
      <c r="C500" s="111"/>
      <c r="D500" s="111"/>
      <c r="E500" s="32"/>
      <c r="F500"/>
    </row>
    <row r="501" spans="1:6" s="33" customFormat="1" ht="15.75">
      <c r="A501" s="158"/>
      <c r="B501" s="148"/>
      <c r="C501" s="111"/>
      <c r="D501" s="111"/>
      <c r="E501" s="32"/>
      <c r="F501"/>
    </row>
    <row r="502" spans="1:6" s="33" customFormat="1" ht="15.75">
      <c r="A502" s="158"/>
      <c r="B502" s="148"/>
      <c r="C502" s="111"/>
      <c r="D502" s="111"/>
      <c r="E502" s="32"/>
      <c r="F502"/>
    </row>
    <row r="503" spans="1:6" s="33" customFormat="1" ht="15.75">
      <c r="A503" s="158"/>
      <c r="B503" s="148"/>
      <c r="C503" s="111"/>
      <c r="D503" s="111"/>
      <c r="E503" s="32"/>
      <c r="F503"/>
    </row>
    <row r="504" spans="1:6" s="33" customFormat="1" ht="15.75">
      <c r="A504" s="158"/>
      <c r="B504" s="148"/>
      <c r="C504" s="111"/>
      <c r="D504" s="111"/>
      <c r="E504" s="32"/>
      <c r="F504"/>
    </row>
    <row r="505" spans="1:6" s="33" customFormat="1" ht="15.75">
      <c r="A505" s="158"/>
      <c r="B505" s="148"/>
      <c r="C505" s="111"/>
      <c r="D505" s="111"/>
      <c r="E505" s="32"/>
      <c r="F505"/>
    </row>
    <row r="506" spans="1:6" s="33" customFormat="1" ht="15.75">
      <c r="A506" s="158"/>
      <c r="B506" s="148"/>
      <c r="C506" s="111"/>
      <c r="D506" s="111"/>
      <c r="E506" s="32"/>
      <c r="F506"/>
    </row>
    <row r="507" spans="1:6" s="33" customFormat="1" ht="15.75">
      <c r="A507" s="158"/>
      <c r="B507" s="148"/>
      <c r="C507" s="111"/>
      <c r="D507" s="111"/>
      <c r="E507" s="32"/>
      <c r="F507"/>
    </row>
    <row r="508" spans="1:6" s="33" customFormat="1" ht="15.75">
      <c r="A508" s="158"/>
      <c r="B508" s="148"/>
      <c r="C508" s="111"/>
      <c r="D508" s="111"/>
      <c r="E508" s="32"/>
      <c r="F508"/>
    </row>
    <row r="509" spans="1:6" s="33" customFormat="1" ht="15.75">
      <c r="A509" s="158"/>
      <c r="B509" s="148"/>
      <c r="C509" s="111"/>
      <c r="D509" s="111"/>
      <c r="E509" s="32"/>
      <c r="F509"/>
    </row>
    <row r="510" spans="1:6" s="33" customFormat="1" ht="15.75">
      <c r="A510" s="158"/>
      <c r="B510" s="148"/>
      <c r="C510" s="111"/>
      <c r="D510" s="111"/>
      <c r="E510" s="32"/>
      <c r="F510"/>
    </row>
    <row r="511" spans="1:6" s="33" customFormat="1" ht="15.75">
      <c r="A511" s="158"/>
      <c r="B511" s="148"/>
      <c r="C511" s="111"/>
      <c r="D511" s="111"/>
      <c r="E511" s="32"/>
      <c r="F511"/>
    </row>
    <row r="512" spans="1:6" s="33" customFormat="1" ht="15.75">
      <c r="A512" s="158"/>
      <c r="B512" s="148"/>
      <c r="C512" s="111"/>
      <c r="D512" s="111"/>
      <c r="E512" s="32"/>
      <c r="F512"/>
    </row>
    <row r="513" spans="1:6" s="33" customFormat="1" ht="15.75">
      <c r="A513" s="158"/>
      <c r="B513" s="148"/>
      <c r="C513" s="111"/>
      <c r="D513" s="111"/>
      <c r="E513" s="32"/>
      <c r="F513"/>
    </row>
    <row r="514" spans="1:6" s="33" customFormat="1" ht="15.75">
      <c r="A514" s="158"/>
      <c r="B514" s="148"/>
      <c r="C514" s="111"/>
      <c r="D514" s="111"/>
      <c r="E514" s="32"/>
      <c r="F514"/>
    </row>
    <row r="515" spans="1:6" s="33" customFormat="1" ht="15.75">
      <c r="A515" s="158"/>
      <c r="B515" s="148"/>
      <c r="C515" s="111"/>
      <c r="D515" s="111"/>
      <c r="E515" s="32"/>
      <c r="F515"/>
    </row>
    <row r="516" spans="1:6" s="33" customFormat="1" ht="15.75">
      <c r="A516" s="158"/>
      <c r="B516" s="148"/>
      <c r="C516" s="111"/>
      <c r="D516" s="111"/>
      <c r="E516" s="32"/>
      <c r="F516"/>
    </row>
    <row r="517" spans="1:6" s="33" customFormat="1" ht="15.75">
      <c r="A517" s="158"/>
      <c r="B517" s="148"/>
      <c r="C517" s="111"/>
      <c r="D517" s="111"/>
      <c r="E517" s="32"/>
      <c r="F517"/>
    </row>
    <row r="518" spans="1:6" s="33" customFormat="1" ht="15.75">
      <c r="A518" s="158"/>
      <c r="B518" s="148"/>
      <c r="C518" s="111"/>
      <c r="D518" s="111"/>
      <c r="E518" s="32"/>
      <c r="F518"/>
    </row>
    <row r="519" spans="1:6" s="33" customFormat="1" ht="15.75">
      <c r="A519" s="158"/>
      <c r="B519" s="148"/>
      <c r="C519" s="111"/>
      <c r="D519" s="111"/>
      <c r="E519" s="32"/>
      <c r="F519"/>
    </row>
    <row r="520" spans="1:6" s="33" customFormat="1" ht="15.75">
      <c r="A520" s="158"/>
      <c r="B520" s="148"/>
      <c r="C520" s="111"/>
      <c r="D520" s="111"/>
      <c r="E520" s="32"/>
      <c r="F520"/>
    </row>
    <row r="521" spans="1:6" s="33" customFormat="1" ht="15.75">
      <c r="A521" s="158"/>
      <c r="B521" s="148"/>
      <c r="C521" s="111"/>
      <c r="D521" s="111"/>
      <c r="E521" s="32"/>
      <c r="F521"/>
    </row>
    <row r="522" spans="1:6" s="33" customFormat="1" ht="15.75">
      <c r="A522" s="158"/>
      <c r="B522" s="148"/>
      <c r="C522" s="111"/>
      <c r="D522" s="111"/>
      <c r="E522" s="32"/>
      <c r="F522"/>
    </row>
    <row r="523" spans="1:6" s="33" customFormat="1" ht="15.75">
      <c r="A523" s="158"/>
      <c r="B523" s="148"/>
      <c r="C523" s="111"/>
      <c r="D523" s="111"/>
      <c r="E523" s="32"/>
      <c r="F523"/>
    </row>
    <row r="524" spans="1:6" s="33" customFormat="1" ht="15.75">
      <c r="A524" s="158"/>
      <c r="B524" s="148"/>
      <c r="C524" s="111"/>
      <c r="D524" s="111"/>
      <c r="E524" s="32"/>
      <c r="F524"/>
    </row>
    <row r="525" spans="1:6" s="33" customFormat="1" ht="15.75">
      <c r="A525" s="158"/>
      <c r="B525" s="148"/>
      <c r="C525" s="111"/>
      <c r="D525" s="111"/>
      <c r="E525" s="32"/>
      <c r="F525"/>
    </row>
    <row r="526" spans="1:6" s="33" customFormat="1" ht="15.75">
      <c r="A526" s="158"/>
      <c r="B526" s="148"/>
      <c r="C526" s="111"/>
      <c r="D526" s="111"/>
      <c r="E526" s="32"/>
      <c r="F526"/>
    </row>
    <row r="527" spans="1:6" s="33" customFormat="1" ht="15.75">
      <c r="A527" s="158"/>
      <c r="B527" s="148"/>
      <c r="C527" s="111"/>
      <c r="D527" s="111"/>
      <c r="E527" s="32"/>
      <c r="F527"/>
    </row>
    <row r="528" spans="1:6" s="33" customFormat="1" ht="15.75">
      <c r="A528" s="158"/>
      <c r="B528" s="148"/>
      <c r="C528" s="111"/>
      <c r="D528" s="111"/>
      <c r="E528" s="32"/>
      <c r="F528"/>
    </row>
    <row r="529" spans="1:6" s="33" customFormat="1" ht="15.75">
      <c r="A529" s="158"/>
      <c r="B529" s="148"/>
      <c r="C529" s="111"/>
      <c r="D529" s="111"/>
      <c r="E529" s="32"/>
      <c r="F529"/>
    </row>
    <row r="530" spans="1:6" s="33" customFormat="1" ht="15.75">
      <c r="A530" s="158"/>
      <c r="B530" s="148"/>
      <c r="C530" s="111"/>
      <c r="D530" s="111"/>
      <c r="E530" s="32"/>
      <c r="F530"/>
    </row>
    <row r="531" spans="1:6" s="33" customFormat="1" ht="15.75">
      <c r="A531" s="158"/>
      <c r="B531" s="148"/>
      <c r="C531" s="111"/>
      <c r="D531" s="111"/>
      <c r="E531" s="32"/>
      <c r="F531"/>
    </row>
    <row r="532" spans="1:6" s="33" customFormat="1" ht="15.75">
      <c r="A532" s="158"/>
      <c r="B532" s="148"/>
      <c r="C532" s="111"/>
      <c r="D532" s="111"/>
      <c r="E532" s="32"/>
      <c r="F532"/>
    </row>
    <row r="533" spans="1:6" s="33" customFormat="1" ht="15.75">
      <c r="A533" s="158"/>
      <c r="B533" s="148"/>
      <c r="C533" s="111"/>
      <c r="D533" s="111"/>
      <c r="E533" s="32"/>
      <c r="F533"/>
    </row>
    <row r="534" spans="1:6" s="33" customFormat="1" ht="15.75">
      <c r="A534" s="158"/>
      <c r="B534" s="148"/>
      <c r="C534" s="111"/>
      <c r="D534" s="111"/>
      <c r="E534" s="32"/>
      <c r="F534"/>
    </row>
    <row r="535" spans="1:6" s="33" customFormat="1" ht="15.75">
      <c r="A535" s="158"/>
      <c r="B535" s="148"/>
      <c r="C535" s="111"/>
      <c r="D535" s="111"/>
      <c r="E535" s="32"/>
      <c r="F535"/>
    </row>
    <row r="536" spans="1:6" s="33" customFormat="1" ht="15.75">
      <c r="A536" s="158"/>
      <c r="B536" s="148"/>
      <c r="C536" s="111"/>
      <c r="D536" s="111"/>
      <c r="E536" s="32"/>
      <c r="F536"/>
    </row>
    <row r="537" spans="1:6" s="33" customFormat="1" ht="15.75">
      <c r="A537" s="158"/>
      <c r="B537" s="148"/>
      <c r="C537" s="111"/>
      <c r="D537" s="111"/>
      <c r="E537" s="32"/>
      <c r="F537"/>
    </row>
    <row r="538" spans="1:6" s="33" customFormat="1" ht="15.75">
      <c r="A538" s="158"/>
      <c r="B538" s="148"/>
      <c r="C538" s="111"/>
      <c r="D538" s="111"/>
      <c r="E538" s="32"/>
      <c r="F538"/>
    </row>
    <row r="539" spans="1:6" s="33" customFormat="1" ht="15.75">
      <c r="A539" s="158"/>
      <c r="B539" s="148"/>
      <c r="C539" s="111"/>
      <c r="D539" s="111"/>
      <c r="E539" s="32"/>
      <c r="F539"/>
    </row>
    <row r="540" spans="1:6" s="33" customFormat="1" ht="15.75">
      <c r="A540" s="158"/>
      <c r="B540" s="148"/>
      <c r="C540" s="111"/>
      <c r="D540" s="111"/>
      <c r="E540" s="32"/>
      <c r="F540"/>
    </row>
    <row r="541" spans="1:6" s="33" customFormat="1" ht="15.75">
      <c r="A541" s="158"/>
      <c r="B541" s="148"/>
      <c r="C541" s="111"/>
      <c r="D541" s="111"/>
      <c r="E541" s="32"/>
      <c r="F541"/>
    </row>
    <row r="542" spans="1:6" s="33" customFormat="1" ht="15.75">
      <c r="A542" s="158"/>
      <c r="B542" s="148"/>
      <c r="C542" s="111"/>
      <c r="D542" s="111"/>
      <c r="E542" s="32"/>
      <c r="F542"/>
    </row>
    <row r="543" spans="1:6" s="33" customFormat="1" ht="15.75">
      <c r="A543" s="158"/>
      <c r="B543" s="148"/>
      <c r="C543" s="111"/>
      <c r="D543" s="111"/>
      <c r="E543" s="32"/>
      <c r="F543"/>
    </row>
    <row r="544" spans="1:6" s="33" customFormat="1" ht="15.75">
      <c r="A544" s="158"/>
      <c r="B544" s="148"/>
      <c r="C544" s="111"/>
      <c r="D544" s="111"/>
      <c r="E544" s="32"/>
      <c r="F544"/>
    </row>
    <row r="545" spans="1:6" s="33" customFormat="1" ht="15.75">
      <c r="A545" s="158"/>
      <c r="B545" s="148"/>
      <c r="C545" s="111"/>
      <c r="D545" s="111"/>
      <c r="E545" s="32"/>
      <c r="F545"/>
    </row>
    <row r="546" spans="1:6" s="33" customFormat="1" ht="15.75">
      <c r="A546" s="158"/>
      <c r="B546" s="148"/>
      <c r="C546" s="111"/>
      <c r="D546" s="111"/>
      <c r="E546" s="32"/>
      <c r="F546"/>
    </row>
    <row r="547" spans="1:6" s="33" customFormat="1" ht="15.75">
      <c r="A547" s="158"/>
      <c r="B547" s="148"/>
      <c r="C547" s="111"/>
      <c r="D547" s="111"/>
      <c r="E547" s="32"/>
      <c r="F547"/>
    </row>
    <row r="548" spans="1:6" s="33" customFormat="1" ht="15.75">
      <c r="A548" s="158"/>
      <c r="B548" s="148"/>
      <c r="C548" s="111"/>
      <c r="D548" s="111"/>
      <c r="E548" s="32"/>
      <c r="F548"/>
    </row>
    <row r="549" spans="1:6" s="33" customFormat="1" ht="15.75">
      <c r="A549" s="158"/>
      <c r="B549" s="148"/>
      <c r="C549" s="111"/>
      <c r="D549" s="111"/>
      <c r="E549" s="32"/>
      <c r="F549"/>
    </row>
    <row r="550" spans="1:6" s="33" customFormat="1" ht="15.75">
      <c r="A550" s="158"/>
      <c r="B550" s="148"/>
      <c r="C550" s="111"/>
      <c r="D550" s="111"/>
      <c r="E550" s="32"/>
      <c r="F550"/>
    </row>
    <row r="551" spans="1:6" s="33" customFormat="1" ht="15.75">
      <c r="A551" s="158"/>
      <c r="B551" s="148"/>
      <c r="C551" s="111"/>
      <c r="D551" s="111"/>
      <c r="E551" s="32"/>
      <c r="F551"/>
    </row>
    <row r="552" spans="1:6" s="33" customFormat="1" ht="15.75">
      <c r="A552" s="158"/>
      <c r="B552" s="148"/>
      <c r="C552" s="111"/>
      <c r="D552" s="111"/>
      <c r="E552" s="32"/>
      <c r="F552"/>
    </row>
    <row r="553" spans="1:6" s="33" customFormat="1" ht="15.75">
      <c r="A553" s="158"/>
      <c r="B553" s="148"/>
      <c r="C553" s="111"/>
      <c r="D553" s="111"/>
      <c r="E553" s="32"/>
      <c r="F553"/>
    </row>
    <row r="554" spans="1:6" s="33" customFormat="1" ht="15.75">
      <c r="A554" s="158"/>
      <c r="B554" s="148"/>
      <c r="C554" s="111"/>
      <c r="D554" s="111"/>
      <c r="E554" s="32"/>
      <c r="F554"/>
    </row>
    <row r="555" spans="1:6" s="33" customFormat="1" ht="15.75">
      <c r="A555" s="158"/>
      <c r="B555" s="148"/>
      <c r="C555" s="111"/>
      <c r="D555" s="111"/>
      <c r="E555" s="32"/>
      <c r="F555"/>
    </row>
    <row r="556" spans="1:6" s="33" customFormat="1" ht="15.75">
      <c r="A556" s="158"/>
      <c r="B556" s="148"/>
      <c r="C556" s="111"/>
      <c r="D556" s="111"/>
      <c r="E556" s="32"/>
      <c r="F556"/>
    </row>
    <row r="557" spans="1:6" s="33" customFormat="1" ht="15.75">
      <c r="A557" s="158"/>
      <c r="B557" s="148"/>
      <c r="C557" s="111"/>
      <c r="D557" s="111"/>
      <c r="E557" s="32"/>
      <c r="F557"/>
    </row>
    <row r="558" spans="1:6" s="33" customFormat="1" ht="15.75">
      <c r="A558" s="158"/>
      <c r="B558" s="148"/>
      <c r="C558" s="111"/>
      <c r="D558" s="111"/>
      <c r="E558" s="32"/>
      <c r="F558"/>
    </row>
    <row r="559" spans="1:6" s="33" customFormat="1" ht="15.75">
      <c r="A559" s="158"/>
      <c r="B559" s="148"/>
      <c r="C559" s="111"/>
      <c r="D559" s="111"/>
      <c r="E559" s="32"/>
      <c r="F559"/>
    </row>
    <row r="560" spans="1:6" s="33" customFormat="1" ht="15.75">
      <c r="A560" s="158"/>
      <c r="B560" s="148"/>
      <c r="C560" s="111"/>
      <c r="D560" s="111"/>
      <c r="E560" s="32"/>
      <c r="F560"/>
    </row>
    <row r="561" spans="1:6" s="33" customFormat="1" ht="15.75">
      <c r="A561" s="158"/>
      <c r="B561" s="148"/>
      <c r="C561" s="111"/>
      <c r="D561" s="111"/>
      <c r="E561" s="32"/>
      <c r="F561"/>
    </row>
    <row r="562" spans="1:6" s="33" customFormat="1" ht="15.75">
      <c r="A562" s="158"/>
      <c r="B562" s="148"/>
      <c r="C562" s="111"/>
      <c r="D562" s="111"/>
      <c r="E562" s="32"/>
      <c r="F562"/>
    </row>
    <row r="563" spans="1:6" s="33" customFormat="1" ht="15.75">
      <c r="A563" s="158"/>
      <c r="B563" s="148"/>
      <c r="C563" s="111"/>
      <c r="D563" s="111"/>
      <c r="E563" s="32"/>
      <c r="F563"/>
    </row>
    <row r="564" spans="1:6" s="33" customFormat="1" ht="15.75">
      <c r="A564" s="158"/>
      <c r="B564" s="148"/>
      <c r="C564" s="111"/>
      <c r="D564" s="111"/>
      <c r="E564" s="32"/>
      <c r="F564"/>
    </row>
    <row r="565" spans="1:6" s="33" customFormat="1" ht="15.75">
      <c r="A565" s="158"/>
      <c r="B565" s="148"/>
      <c r="C565" s="111"/>
      <c r="D565" s="111"/>
      <c r="E565" s="32"/>
      <c r="F565"/>
    </row>
    <row r="566" spans="1:6" s="33" customFormat="1" ht="15.75">
      <c r="A566" s="158"/>
      <c r="B566" s="148"/>
      <c r="C566" s="111"/>
      <c r="D566" s="111"/>
      <c r="E566" s="32"/>
      <c r="F566"/>
    </row>
    <row r="567" spans="1:6" s="33" customFormat="1" ht="15.75">
      <c r="A567" s="158"/>
      <c r="B567" s="148"/>
      <c r="C567" s="111"/>
      <c r="D567" s="111"/>
      <c r="E567" s="32"/>
      <c r="F567"/>
    </row>
    <row r="568" spans="1:6" s="33" customFormat="1" ht="15.75">
      <c r="A568" s="158"/>
      <c r="B568" s="148"/>
      <c r="C568" s="111"/>
      <c r="D568" s="111"/>
      <c r="E568" s="32"/>
      <c r="F568"/>
    </row>
    <row r="569" spans="1:6" s="33" customFormat="1" ht="15.75">
      <c r="A569" s="158"/>
      <c r="B569" s="148"/>
      <c r="C569" s="111"/>
      <c r="D569" s="111"/>
      <c r="E569" s="32"/>
      <c r="F569"/>
    </row>
    <row r="570" spans="1:6" s="33" customFormat="1" ht="15.75">
      <c r="A570" s="158"/>
      <c r="B570" s="148"/>
      <c r="C570" s="111"/>
      <c r="D570" s="111"/>
      <c r="E570" s="32"/>
      <c r="F570"/>
    </row>
    <row r="571" spans="1:6" s="33" customFormat="1" ht="15.75">
      <c r="A571" s="158"/>
      <c r="B571" s="148"/>
      <c r="C571" s="111"/>
      <c r="D571" s="111"/>
      <c r="E571" s="32"/>
      <c r="F571"/>
    </row>
    <row r="572" spans="1:6" s="33" customFormat="1" ht="15.75">
      <c r="A572" s="158"/>
      <c r="B572" s="148"/>
      <c r="C572" s="111"/>
      <c r="D572" s="111"/>
      <c r="E572" s="32"/>
      <c r="F572"/>
    </row>
    <row r="573" spans="1:6" s="33" customFormat="1" ht="15.75">
      <c r="A573" s="158"/>
      <c r="B573" s="148"/>
      <c r="C573" s="111"/>
      <c r="D573" s="111"/>
      <c r="E573" s="32"/>
      <c r="F573"/>
    </row>
    <row r="574" spans="1:6" s="33" customFormat="1" ht="15.75">
      <c r="A574" s="158"/>
      <c r="B574" s="148"/>
      <c r="C574" s="111"/>
      <c r="D574" s="111"/>
      <c r="E574" s="32"/>
      <c r="F574"/>
    </row>
    <row r="575" spans="1:6" s="33" customFormat="1" ht="15.75">
      <c r="A575" s="158"/>
      <c r="B575" s="148"/>
      <c r="C575" s="111"/>
      <c r="D575" s="111"/>
      <c r="E575" s="32"/>
      <c r="F575"/>
    </row>
    <row r="576" spans="1:6" s="33" customFormat="1" ht="15.75">
      <c r="A576" s="158"/>
      <c r="B576" s="148"/>
      <c r="C576" s="111"/>
      <c r="D576" s="111"/>
      <c r="E576" s="32"/>
      <c r="F576"/>
    </row>
    <row r="577" spans="1:6" s="33" customFormat="1" ht="15.75">
      <c r="A577" s="158"/>
      <c r="B577" s="148"/>
      <c r="C577" s="111"/>
      <c r="D577" s="111"/>
      <c r="E577" s="32"/>
      <c r="F577"/>
    </row>
    <row r="578" spans="1:6" s="33" customFormat="1" ht="15.75">
      <c r="A578" s="158"/>
      <c r="B578" s="148"/>
      <c r="C578" s="111"/>
      <c r="D578" s="111"/>
      <c r="E578" s="32"/>
      <c r="F578"/>
    </row>
    <row r="579" spans="1:6" s="33" customFormat="1" ht="15.75">
      <c r="A579" s="158"/>
      <c r="B579" s="148"/>
      <c r="C579" s="111"/>
      <c r="D579" s="111"/>
      <c r="E579" s="32"/>
      <c r="F579"/>
    </row>
    <row r="580" spans="1:6" s="33" customFormat="1" ht="15.75">
      <c r="A580" s="158"/>
      <c r="B580" s="148"/>
      <c r="C580" s="111"/>
      <c r="D580" s="111"/>
      <c r="E580" s="32"/>
      <c r="F580"/>
    </row>
    <row r="581" spans="1:6" s="33" customFormat="1" ht="15.75">
      <c r="A581" s="158"/>
      <c r="B581" s="148"/>
      <c r="C581" s="111"/>
      <c r="D581" s="111"/>
      <c r="E581" s="32"/>
      <c r="F581"/>
    </row>
    <row r="582" spans="1:6" s="33" customFormat="1" ht="15.75">
      <c r="A582" s="158"/>
      <c r="B582" s="148"/>
      <c r="C582" s="111"/>
      <c r="D582" s="111"/>
      <c r="E582" s="32"/>
      <c r="F582"/>
    </row>
    <row r="583" spans="1:6" s="33" customFormat="1" ht="15.75">
      <c r="A583" s="158"/>
      <c r="B583" s="148"/>
      <c r="C583" s="111"/>
      <c r="D583" s="111"/>
      <c r="E583" s="32"/>
      <c r="F583"/>
    </row>
    <row r="584" spans="1:6" s="33" customFormat="1" ht="15.75">
      <c r="A584" s="158"/>
      <c r="B584" s="148"/>
      <c r="C584" s="111"/>
      <c r="D584" s="111"/>
      <c r="E584" s="32"/>
      <c r="F584"/>
    </row>
    <row r="585" spans="1:6" s="33" customFormat="1" ht="15.75">
      <c r="A585" s="158"/>
      <c r="B585" s="148"/>
      <c r="C585" s="111"/>
      <c r="D585" s="111"/>
      <c r="E585" s="32"/>
      <c r="F585"/>
    </row>
    <row r="586" spans="1:6" s="33" customFormat="1" ht="15.75">
      <c r="A586" s="158"/>
      <c r="B586" s="148"/>
      <c r="C586" s="111"/>
      <c r="D586" s="111"/>
      <c r="E586" s="32"/>
      <c r="F586"/>
    </row>
    <row r="587" spans="1:6" s="33" customFormat="1" ht="15.75">
      <c r="A587" s="158"/>
      <c r="B587" s="148"/>
      <c r="C587" s="111"/>
      <c r="D587" s="111"/>
      <c r="E587" s="32"/>
      <c r="F587"/>
    </row>
    <row r="588" spans="1:6" s="33" customFormat="1" ht="15.75">
      <c r="A588" s="158"/>
      <c r="B588" s="148"/>
      <c r="C588" s="111"/>
      <c r="D588" s="111"/>
      <c r="E588" s="32"/>
      <c r="F588"/>
    </row>
    <row r="589" spans="1:6" s="33" customFormat="1" ht="15.75">
      <c r="A589" s="158"/>
      <c r="B589" s="148"/>
      <c r="C589" s="111"/>
      <c r="D589" s="111"/>
      <c r="E589" s="32"/>
      <c r="F589"/>
    </row>
    <row r="590" spans="1:6" s="33" customFormat="1" ht="15.75">
      <c r="A590" s="158"/>
      <c r="B590" s="148"/>
      <c r="C590" s="111"/>
      <c r="D590" s="111"/>
      <c r="E590" s="32"/>
      <c r="F590"/>
    </row>
    <row r="591" spans="1:6" s="33" customFormat="1" ht="15.75">
      <c r="A591" s="158"/>
      <c r="B591" s="148"/>
      <c r="C591" s="111"/>
      <c r="D591" s="111"/>
      <c r="E591" s="32"/>
      <c r="F591"/>
    </row>
    <row r="592" spans="1:6" s="33" customFormat="1" ht="15.75">
      <c r="A592" s="158"/>
      <c r="B592" s="148"/>
      <c r="C592" s="111"/>
      <c r="D592" s="111"/>
      <c r="E592" s="32"/>
      <c r="F592"/>
    </row>
    <row r="593" spans="1:6" s="33" customFormat="1" ht="15.75">
      <c r="A593" s="158"/>
      <c r="B593" s="148"/>
      <c r="C593" s="111"/>
      <c r="D593" s="111"/>
      <c r="E593" s="32"/>
      <c r="F593"/>
    </row>
    <row r="594" spans="1:6" s="33" customFormat="1" ht="15.75">
      <c r="A594" s="158"/>
      <c r="B594" s="148"/>
      <c r="C594" s="111"/>
      <c r="D594" s="111"/>
      <c r="E594" s="32"/>
      <c r="F594"/>
    </row>
    <row r="595" spans="1:6" s="33" customFormat="1" ht="15.75">
      <c r="A595" s="158"/>
      <c r="B595" s="148"/>
      <c r="C595" s="111"/>
      <c r="D595" s="111"/>
      <c r="E595" s="32"/>
      <c r="F595"/>
    </row>
    <row r="596" spans="1:6" s="33" customFormat="1" ht="15.75">
      <c r="A596" s="158"/>
      <c r="B596" s="148"/>
      <c r="C596" s="111"/>
      <c r="D596" s="111"/>
      <c r="E596" s="32"/>
      <c r="F596"/>
    </row>
    <row r="597" spans="1:6" s="33" customFormat="1" ht="15.75">
      <c r="A597" s="158"/>
      <c r="B597" s="148"/>
      <c r="C597" s="111"/>
      <c r="D597" s="111"/>
      <c r="E597" s="32"/>
      <c r="F597"/>
    </row>
    <row r="598" spans="1:6" s="33" customFormat="1" ht="15.75">
      <c r="A598" s="158"/>
      <c r="B598" s="148"/>
      <c r="C598" s="111"/>
      <c r="D598" s="111"/>
      <c r="E598" s="32"/>
      <c r="F598"/>
    </row>
    <row r="599" spans="1:6" s="33" customFormat="1" ht="15.75">
      <c r="A599" s="158"/>
      <c r="B599" s="148"/>
      <c r="C599" s="111"/>
      <c r="D599" s="111"/>
      <c r="E599" s="32"/>
      <c r="F599"/>
    </row>
    <row r="600" spans="1:6" s="33" customFormat="1" ht="15.75">
      <c r="A600" s="158"/>
      <c r="B600" s="148"/>
      <c r="C600" s="111"/>
      <c r="D600" s="111"/>
      <c r="E600" s="32"/>
      <c r="F600"/>
    </row>
    <row r="601" spans="1:6" s="33" customFormat="1" ht="15.75">
      <c r="A601" s="158"/>
      <c r="B601" s="148"/>
      <c r="C601" s="111"/>
      <c r="D601" s="111"/>
      <c r="E601" s="32"/>
      <c r="F601"/>
    </row>
    <row r="602" spans="1:6" s="33" customFormat="1" ht="15.75">
      <c r="A602" s="158"/>
      <c r="B602" s="148"/>
      <c r="C602" s="111"/>
      <c r="D602" s="111"/>
      <c r="E602" s="32"/>
      <c r="F602"/>
    </row>
    <row r="603" spans="1:6" s="33" customFormat="1" ht="15.75">
      <c r="A603" s="158"/>
      <c r="B603" s="148"/>
      <c r="C603" s="111"/>
      <c r="D603" s="111"/>
      <c r="E603" s="32"/>
      <c r="F603"/>
    </row>
    <row r="604" spans="1:6" s="33" customFormat="1" ht="15.75">
      <c r="A604" s="158"/>
      <c r="B604" s="148"/>
      <c r="C604" s="111"/>
      <c r="D604" s="111"/>
      <c r="E604" s="32"/>
      <c r="F604"/>
    </row>
    <row r="605" spans="1:6" s="33" customFormat="1" ht="15.75">
      <c r="A605" s="158"/>
      <c r="B605" s="148"/>
      <c r="C605" s="111"/>
      <c r="D605" s="111"/>
      <c r="E605" s="32"/>
      <c r="F605"/>
    </row>
    <row r="606" spans="1:6" s="33" customFormat="1" ht="15.75">
      <c r="A606" s="158"/>
      <c r="B606" s="148"/>
      <c r="C606" s="111"/>
      <c r="D606" s="111"/>
      <c r="E606" s="32"/>
      <c r="F606"/>
    </row>
    <row r="607" spans="1:6" s="33" customFormat="1" ht="15.75">
      <c r="A607" s="158"/>
      <c r="B607" s="148"/>
      <c r="C607" s="111"/>
      <c r="D607" s="111"/>
      <c r="E607" s="32"/>
      <c r="F607"/>
    </row>
    <row r="608" spans="1:6" s="33" customFormat="1" ht="15.75">
      <c r="A608" s="158"/>
      <c r="B608" s="148"/>
      <c r="C608" s="111"/>
      <c r="D608" s="111"/>
      <c r="E608" s="32"/>
      <c r="F608"/>
    </row>
    <row r="609" spans="1:6" s="33" customFormat="1" ht="15.75">
      <c r="A609" s="158"/>
      <c r="B609" s="148"/>
      <c r="C609" s="111"/>
      <c r="D609" s="111"/>
      <c r="E609" s="32"/>
      <c r="F609"/>
    </row>
    <row r="610" spans="1:6" s="33" customFormat="1" ht="15.75">
      <c r="A610" s="158"/>
      <c r="B610" s="148"/>
      <c r="C610" s="111"/>
      <c r="D610" s="111"/>
      <c r="E610" s="32"/>
      <c r="F610"/>
    </row>
    <row r="611" spans="1:6" s="33" customFormat="1" ht="15.75">
      <c r="A611" s="158"/>
      <c r="B611" s="148"/>
      <c r="C611" s="111"/>
      <c r="D611" s="111"/>
      <c r="E611" s="32"/>
      <c r="F611"/>
    </row>
    <row r="612" spans="1:6" s="33" customFormat="1" ht="15.75">
      <c r="A612" s="158"/>
      <c r="B612" s="148"/>
      <c r="C612" s="111"/>
      <c r="D612" s="111"/>
      <c r="E612" s="32"/>
      <c r="F612"/>
    </row>
    <row r="613" spans="1:6" s="33" customFormat="1" ht="15.75">
      <c r="A613" s="158"/>
      <c r="B613" s="148"/>
      <c r="C613" s="111"/>
      <c r="D613" s="111"/>
      <c r="E613" s="32"/>
      <c r="F613"/>
    </row>
    <row r="614" spans="1:6" s="33" customFormat="1" ht="15.75">
      <c r="A614" s="158"/>
      <c r="B614" s="148"/>
      <c r="C614" s="111"/>
      <c r="D614" s="111"/>
      <c r="E614" s="32"/>
      <c r="F614"/>
    </row>
    <row r="615" spans="1:6" s="33" customFormat="1" ht="15.75">
      <c r="A615" s="158"/>
      <c r="B615" s="148"/>
      <c r="C615" s="111"/>
      <c r="D615" s="111"/>
      <c r="E615" s="32"/>
      <c r="F615"/>
    </row>
    <row r="616" spans="1:6" s="33" customFormat="1" ht="15.75">
      <c r="A616" s="158"/>
      <c r="B616" s="148"/>
      <c r="C616" s="111"/>
      <c r="D616" s="111"/>
      <c r="E616" s="32"/>
      <c r="F616"/>
    </row>
    <row r="617" spans="1:6" s="33" customFormat="1" ht="15.75">
      <c r="A617" s="158"/>
      <c r="B617" s="148"/>
      <c r="C617" s="111"/>
      <c r="D617" s="111"/>
      <c r="E617" s="32"/>
      <c r="F617"/>
    </row>
    <row r="618" spans="1:6" s="33" customFormat="1" ht="15.75">
      <c r="A618" s="158"/>
      <c r="B618" s="148"/>
      <c r="C618" s="111"/>
      <c r="D618" s="111"/>
      <c r="E618" s="32"/>
      <c r="F618"/>
    </row>
    <row r="619" spans="1:6" s="33" customFormat="1" ht="15.75">
      <c r="A619" s="158"/>
      <c r="B619" s="148"/>
      <c r="C619" s="111"/>
      <c r="D619" s="111"/>
      <c r="E619" s="32"/>
      <c r="F619"/>
    </row>
    <row r="620" spans="1:6" s="33" customFormat="1" ht="15.75">
      <c r="A620" s="158"/>
      <c r="B620" s="148"/>
      <c r="C620" s="111"/>
      <c r="D620" s="111"/>
      <c r="E620" s="32"/>
      <c r="F620"/>
    </row>
    <row r="621" spans="1:6" s="33" customFormat="1" ht="15.75">
      <c r="A621" s="158"/>
      <c r="B621" s="148"/>
      <c r="C621" s="111"/>
      <c r="D621" s="111"/>
      <c r="E621" s="32"/>
      <c r="F621"/>
    </row>
    <row r="622" spans="1:6" s="33" customFormat="1" ht="15.75">
      <c r="A622" s="158"/>
      <c r="B622" s="148"/>
      <c r="C622" s="111"/>
      <c r="D622" s="111"/>
      <c r="E622" s="32"/>
      <c r="F622"/>
    </row>
    <row r="623" spans="1:6" s="33" customFormat="1" ht="15.75">
      <c r="A623" s="158"/>
      <c r="B623" s="148"/>
      <c r="C623" s="111"/>
      <c r="D623" s="111"/>
      <c r="E623" s="32"/>
      <c r="F623"/>
    </row>
    <row r="624" spans="1:6" s="33" customFormat="1" ht="15.75">
      <c r="A624" s="158"/>
      <c r="B624" s="148"/>
      <c r="C624" s="111"/>
      <c r="D624" s="111"/>
      <c r="E624" s="32"/>
      <c r="F624"/>
    </row>
    <row r="625" spans="1:6" s="33" customFormat="1" ht="15.75">
      <c r="A625" s="158"/>
      <c r="B625" s="148"/>
      <c r="C625" s="111"/>
      <c r="D625" s="111"/>
      <c r="E625" s="32"/>
      <c r="F625"/>
    </row>
    <row r="626" spans="1:6" s="33" customFormat="1" ht="15.75">
      <c r="A626" s="158"/>
      <c r="B626" s="148"/>
      <c r="C626" s="111"/>
      <c r="D626" s="111"/>
      <c r="E626" s="32"/>
      <c r="F626"/>
    </row>
    <row r="627" spans="1:6" s="33" customFormat="1" ht="15.75">
      <c r="A627" s="158"/>
      <c r="B627" s="148"/>
      <c r="C627" s="111"/>
      <c r="D627" s="111"/>
      <c r="E627" s="32"/>
      <c r="F627"/>
    </row>
    <row r="628" spans="1:6" s="33" customFormat="1" ht="15.75">
      <c r="A628" s="158"/>
      <c r="B628" s="148"/>
      <c r="C628" s="111"/>
      <c r="D628" s="111"/>
      <c r="E628" s="32"/>
      <c r="F628"/>
    </row>
    <row r="629" spans="1:6" s="33" customFormat="1" ht="15.75">
      <c r="A629" s="158"/>
      <c r="B629" s="148"/>
      <c r="C629" s="111"/>
      <c r="D629" s="111"/>
      <c r="E629" s="32"/>
      <c r="F629"/>
    </row>
    <row r="630" spans="1:6" s="33" customFormat="1" ht="15.75">
      <c r="A630" s="158"/>
      <c r="B630" s="148"/>
      <c r="C630" s="111"/>
      <c r="D630" s="111"/>
      <c r="E630" s="32"/>
      <c r="F630"/>
    </row>
    <row r="631" spans="1:6" s="33" customFormat="1" ht="15.75">
      <c r="A631" s="158"/>
      <c r="B631" s="148"/>
      <c r="C631" s="111"/>
      <c r="D631" s="111"/>
      <c r="E631" s="32"/>
      <c r="F631"/>
    </row>
    <row r="632" spans="1:6" s="33" customFormat="1" ht="15.75">
      <c r="A632" s="158"/>
      <c r="B632" s="148"/>
      <c r="C632" s="111"/>
      <c r="D632" s="111"/>
      <c r="E632" s="32"/>
      <c r="F632"/>
    </row>
    <row r="633" spans="1:6" s="33" customFormat="1" ht="15.75">
      <c r="A633" s="158"/>
      <c r="B633" s="148"/>
      <c r="C633" s="111"/>
      <c r="D633" s="111"/>
      <c r="E633" s="32"/>
      <c r="F633"/>
    </row>
    <row r="634" spans="1:6" s="33" customFormat="1" ht="15.75">
      <c r="A634" s="158"/>
      <c r="B634" s="148"/>
      <c r="C634" s="111"/>
      <c r="D634" s="111"/>
      <c r="E634" s="32"/>
      <c r="F634"/>
    </row>
    <row r="635" spans="1:6" s="33" customFormat="1" ht="15.75">
      <c r="A635" s="158"/>
      <c r="B635" s="148"/>
      <c r="C635" s="111"/>
      <c r="D635" s="111"/>
      <c r="E635" s="32"/>
      <c r="F635"/>
    </row>
    <row r="636" spans="1:6" s="33" customFormat="1" ht="15.75">
      <c r="A636" s="158"/>
      <c r="B636" s="148"/>
      <c r="C636" s="111"/>
      <c r="D636" s="111"/>
      <c r="E636" s="32"/>
      <c r="F636"/>
    </row>
    <row r="637" spans="1:6" s="33" customFormat="1" ht="15.75">
      <c r="A637" s="158"/>
      <c r="B637" s="148"/>
      <c r="C637" s="111"/>
      <c r="D637" s="111"/>
      <c r="E637" s="32"/>
      <c r="F637"/>
    </row>
    <row r="638" spans="1:6" s="33" customFormat="1" ht="15.75">
      <c r="A638" s="158"/>
      <c r="B638" s="148"/>
      <c r="C638" s="111"/>
      <c r="D638" s="111"/>
      <c r="E638" s="32"/>
      <c r="F638"/>
    </row>
    <row r="639" spans="1:6" s="33" customFormat="1" ht="15.75">
      <c r="A639" s="158"/>
      <c r="B639" s="148"/>
      <c r="C639" s="111"/>
      <c r="D639" s="111"/>
      <c r="E639" s="32"/>
      <c r="F639"/>
    </row>
    <row r="640" spans="1:6" s="33" customFormat="1" ht="15.75">
      <c r="A640" s="158"/>
      <c r="B640" s="148"/>
      <c r="C640" s="111"/>
      <c r="D640" s="111"/>
      <c r="E640" s="32"/>
      <c r="F640"/>
    </row>
    <row r="641" spans="1:6" s="33" customFormat="1" ht="15.75">
      <c r="A641" s="158"/>
      <c r="B641" s="148"/>
      <c r="C641" s="111"/>
      <c r="D641" s="111"/>
      <c r="E641" s="32"/>
      <c r="F641"/>
    </row>
    <row r="642" spans="1:6" s="33" customFormat="1" ht="15.75">
      <c r="A642" s="158"/>
      <c r="B642" s="148"/>
      <c r="C642" s="111"/>
      <c r="D642" s="111"/>
      <c r="E642" s="32"/>
      <c r="F642"/>
    </row>
    <row r="643" spans="1:6" s="33" customFormat="1" ht="15.75">
      <c r="A643" s="158"/>
      <c r="B643" s="148"/>
      <c r="C643" s="111"/>
      <c r="D643" s="111"/>
      <c r="E643" s="32"/>
      <c r="F643"/>
    </row>
    <row r="644" spans="1:6" s="33" customFormat="1" ht="15.75">
      <c r="A644" s="158"/>
      <c r="B644" s="148"/>
      <c r="C644" s="111"/>
      <c r="D644" s="111"/>
      <c r="E644" s="32"/>
      <c r="F644"/>
    </row>
    <row r="645" spans="1:6" s="33" customFormat="1" ht="15.75">
      <c r="A645" s="158"/>
      <c r="B645" s="148"/>
      <c r="C645" s="111"/>
      <c r="D645" s="111"/>
      <c r="E645" s="32"/>
      <c r="F645"/>
    </row>
    <row r="646" spans="1:6" s="33" customFormat="1" ht="15.75">
      <c r="A646" s="158"/>
      <c r="B646" s="148"/>
      <c r="C646" s="111"/>
      <c r="D646" s="111"/>
      <c r="E646" s="32"/>
      <c r="F646"/>
    </row>
    <row r="647" spans="1:6" s="33" customFormat="1" ht="15.75">
      <c r="A647" s="158"/>
      <c r="B647" s="148"/>
      <c r="C647" s="111"/>
      <c r="D647" s="111"/>
      <c r="E647" s="32"/>
      <c r="F647"/>
    </row>
    <row r="648" spans="1:6" s="33" customFormat="1" ht="15.75">
      <c r="A648" s="158"/>
      <c r="B648" s="148"/>
      <c r="C648" s="111"/>
      <c r="D648" s="111"/>
      <c r="E648" s="32"/>
      <c r="F648"/>
    </row>
    <row r="649" spans="1:6" s="33" customFormat="1" ht="15.75">
      <c r="A649" s="158"/>
      <c r="B649" s="148"/>
      <c r="C649" s="111"/>
      <c r="D649" s="111"/>
      <c r="E649" s="32"/>
      <c r="F649"/>
    </row>
    <row r="650" spans="1:6" s="33" customFormat="1" ht="15.75">
      <c r="A650" s="158"/>
      <c r="B650" s="148"/>
      <c r="C650" s="111"/>
      <c r="D650" s="111"/>
      <c r="E650" s="32"/>
      <c r="F650"/>
    </row>
    <row r="651" spans="1:6" s="33" customFormat="1" ht="15.75">
      <c r="A651" s="158"/>
      <c r="B651" s="148"/>
      <c r="C651" s="111"/>
      <c r="D651" s="111"/>
      <c r="E651" s="32"/>
      <c r="F651"/>
    </row>
    <row r="652" spans="1:6" s="33" customFormat="1" ht="15.75">
      <c r="A652" s="158"/>
      <c r="B652" s="148"/>
      <c r="C652" s="111"/>
      <c r="D652" s="111"/>
      <c r="E652" s="32"/>
      <c r="F652"/>
    </row>
    <row r="653" spans="1:6" s="33" customFormat="1" ht="15.75">
      <c r="A653" s="158"/>
      <c r="B653" s="148"/>
      <c r="C653" s="111"/>
      <c r="D653" s="111"/>
      <c r="E653" s="32"/>
      <c r="F653"/>
    </row>
    <row r="654" spans="1:6" s="33" customFormat="1" ht="15.75">
      <c r="A654" s="158"/>
      <c r="B654" s="148"/>
      <c r="C654" s="111"/>
      <c r="D654" s="111"/>
      <c r="E654" s="32"/>
      <c r="F654"/>
    </row>
    <row r="655" spans="1:6" s="33" customFormat="1" ht="15.75">
      <c r="A655" s="158"/>
      <c r="B655" s="148"/>
      <c r="C655" s="111"/>
      <c r="D655" s="111"/>
      <c r="E655" s="32"/>
      <c r="F655"/>
    </row>
    <row r="656" spans="1:6" s="33" customFormat="1" ht="15.75">
      <c r="A656" s="158"/>
      <c r="B656" s="148"/>
      <c r="C656" s="111"/>
      <c r="D656" s="111"/>
      <c r="E656" s="32"/>
      <c r="F656"/>
    </row>
    <row r="657" spans="1:6" s="33" customFormat="1" ht="15.75">
      <c r="A657" s="158"/>
      <c r="B657" s="148"/>
      <c r="C657" s="111"/>
      <c r="D657" s="111"/>
      <c r="E657" s="32"/>
      <c r="F657"/>
    </row>
    <row r="658" spans="1:6" s="33" customFormat="1" ht="15.75">
      <c r="A658" s="158"/>
      <c r="B658" s="148"/>
      <c r="C658" s="111"/>
      <c r="D658" s="111"/>
      <c r="E658" s="32"/>
      <c r="F658"/>
    </row>
    <row r="659" spans="1:6" s="33" customFormat="1" ht="15.75">
      <c r="A659" s="158"/>
      <c r="B659" s="148"/>
      <c r="C659" s="111"/>
      <c r="D659" s="111"/>
      <c r="E659" s="32"/>
      <c r="F659"/>
    </row>
    <row r="660" spans="1:6" s="33" customFormat="1" ht="15.75">
      <c r="A660" s="158"/>
      <c r="B660" s="148"/>
      <c r="C660" s="111"/>
      <c r="D660" s="111"/>
      <c r="E660" s="32"/>
      <c r="F660"/>
    </row>
    <row r="661" spans="1:6" s="33" customFormat="1" ht="15.75">
      <c r="A661" s="158"/>
      <c r="B661" s="148"/>
      <c r="C661" s="111"/>
      <c r="D661" s="111"/>
      <c r="E661" s="32"/>
      <c r="F661"/>
    </row>
    <row r="662" spans="1:6" s="33" customFormat="1" ht="15.75">
      <c r="A662" s="158"/>
      <c r="B662" s="148"/>
      <c r="C662" s="111"/>
      <c r="D662" s="111"/>
      <c r="E662" s="32"/>
      <c r="F662"/>
    </row>
    <row r="663" spans="1:6" s="33" customFormat="1" ht="15.75">
      <c r="A663" s="158"/>
      <c r="B663" s="148"/>
      <c r="C663" s="111"/>
      <c r="D663" s="111"/>
      <c r="E663" s="32"/>
      <c r="F663"/>
    </row>
    <row r="664" spans="1:6" s="33" customFormat="1" ht="15.75">
      <c r="A664" s="158"/>
      <c r="B664" s="148"/>
      <c r="C664" s="111"/>
      <c r="D664" s="111"/>
      <c r="E664" s="32"/>
      <c r="F664"/>
    </row>
    <row r="665" spans="1:6" s="33" customFormat="1" ht="15.75">
      <c r="A665" s="158"/>
      <c r="B665" s="148"/>
      <c r="C665" s="111"/>
      <c r="D665" s="111"/>
      <c r="E665" s="32"/>
      <c r="F665"/>
    </row>
    <row r="666" spans="1:6" s="33" customFormat="1" ht="15.75">
      <c r="A666" s="158"/>
      <c r="B666" s="148"/>
      <c r="C666" s="111"/>
      <c r="D666" s="111"/>
      <c r="E666" s="32"/>
      <c r="F666"/>
    </row>
    <row r="667" spans="1:6" s="33" customFormat="1" ht="15.75">
      <c r="A667" s="158"/>
      <c r="B667" s="148"/>
      <c r="C667" s="111"/>
      <c r="D667" s="111"/>
      <c r="E667" s="32"/>
      <c r="F667"/>
    </row>
    <row r="668" spans="1:6" s="33" customFormat="1" ht="15.75">
      <c r="A668" s="158"/>
      <c r="B668" s="148"/>
      <c r="C668" s="111"/>
      <c r="D668" s="111"/>
      <c r="E668" s="32"/>
      <c r="F668"/>
    </row>
    <row r="669" spans="1:6" s="33" customFormat="1" ht="15.75">
      <c r="A669" s="158"/>
      <c r="B669" s="148"/>
      <c r="C669" s="111"/>
      <c r="D669" s="111"/>
      <c r="E669" s="32"/>
      <c r="F669"/>
    </row>
    <row r="670" spans="1:6" s="33" customFormat="1" ht="15.75">
      <c r="A670" s="158"/>
      <c r="B670" s="148"/>
      <c r="C670" s="111"/>
      <c r="D670" s="111"/>
      <c r="E670" s="32"/>
      <c r="F670"/>
    </row>
    <row r="671" spans="1:6" s="33" customFormat="1" ht="15.75">
      <c r="A671" s="158"/>
      <c r="B671" s="148"/>
      <c r="C671" s="111"/>
      <c r="D671" s="111"/>
      <c r="E671" s="32"/>
      <c r="F671"/>
    </row>
    <row r="672" spans="1:6" s="33" customFormat="1" ht="15.75">
      <c r="A672" s="158"/>
      <c r="B672" s="148"/>
      <c r="C672" s="111"/>
      <c r="D672" s="111"/>
      <c r="E672" s="32"/>
      <c r="F672"/>
    </row>
    <row r="673" spans="1:6" s="33" customFormat="1" ht="15.75">
      <c r="A673" s="158"/>
      <c r="B673" s="148"/>
      <c r="C673" s="111"/>
      <c r="D673" s="111"/>
      <c r="E673" s="32"/>
      <c r="F673"/>
    </row>
    <row r="674" spans="1:6" s="33" customFormat="1" ht="15.75">
      <c r="A674" s="158"/>
      <c r="B674" s="148"/>
      <c r="C674" s="111"/>
      <c r="D674" s="111"/>
      <c r="E674" s="32"/>
      <c r="F674"/>
    </row>
    <row r="675" spans="1:6" s="33" customFormat="1" ht="15.75">
      <c r="A675" s="158"/>
      <c r="B675" s="148"/>
      <c r="C675" s="111"/>
      <c r="D675" s="111"/>
      <c r="E675" s="32"/>
      <c r="F675"/>
    </row>
    <row r="676" spans="1:6" s="33" customFormat="1" ht="15.75">
      <c r="A676" s="158"/>
      <c r="B676" s="148"/>
      <c r="C676" s="111"/>
      <c r="D676" s="111"/>
      <c r="E676" s="32"/>
      <c r="F676"/>
    </row>
    <row r="677" spans="1:6" s="33" customFormat="1" ht="15.75">
      <c r="A677" s="158"/>
      <c r="B677" s="148"/>
      <c r="C677" s="111"/>
      <c r="D677" s="111"/>
      <c r="E677" s="32"/>
      <c r="F677"/>
    </row>
    <row r="678" spans="1:6" s="33" customFormat="1" ht="15.75">
      <c r="A678" s="158"/>
      <c r="B678" s="148"/>
      <c r="C678" s="111"/>
      <c r="D678" s="111"/>
      <c r="E678" s="32"/>
      <c r="F678"/>
    </row>
    <row r="679" spans="1:6" s="33" customFormat="1" ht="15.75">
      <c r="A679" s="158"/>
      <c r="B679" s="148"/>
      <c r="C679" s="111"/>
      <c r="D679" s="111"/>
      <c r="E679" s="32"/>
      <c r="F679"/>
    </row>
    <row r="680" spans="1:6" s="33" customFormat="1" ht="15.75">
      <c r="A680" s="158"/>
      <c r="B680" s="148"/>
      <c r="C680" s="111"/>
      <c r="D680" s="111"/>
      <c r="E680" s="32"/>
      <c r="F680"/>
    </row>
    <row r="681" spans="1:6" s="33" customFormat="1" ht="15.75">
      <c r="A681" s="158"/>
      <c r="B681" s="148"/>
      <c r="C681" s="111"/>
      <c r="D681" s="111"/>
      <c r="E681" s="32"/>
      <c r="F681"/>
    </row>
    <row r="682" spans="1:6" s="33" customFormat="1" ht="15.75">
      <c r="A682" s="158"/>
      <c r="B682" s="148"/>
      <c r="C682" s="111"/>
      <c r="D682" s="111"/>
      <c r="E682" s="32"/>
      <c r="F682"/>
    </row>
    <row r="683" spans="1:6" s="33" customFormat="1" ht="15.75">
      <c r="A683" s="158"/>
      <c r="B683" s="148"/>
      <c r="C683" s="111"/>
      <c r="D683" s="111"/>
      <c r="E683" s="32"/>
      <c r="F683"/>
    </row>
    <row r="684" spans="1:6" s="33" customFormat="1" ht="15.75">
      <c r="A684" s="158"/>
      <c r="B684" s="148"/>
      <c r="C684" s="111"/>
      <c r="D684" s="111"/>
      <c r="E684" s="32"/>
      <c r="F684"/>
    </row>
    <row r="685" spans="1:6" s="33" customFormat="1" ht="15.75">
      <c r="A685" s="158"/>
      <c r="B685" s="148"/>
      <c r="C685" s="111"/>
      <c r="D685" s="111"/>
      <c r="E685" s="32"/>
      <c r="F685"/>
    </row>
    <row r="686" spans="1:6" s="33" customFormat="1" ht="15.75">
      <c r="A686" s="158"/>
      <c r="B686" s="148"/>
      <c r="C686" s="111"/>
      <c r="D686" s="111"/>
      <c r="E686" s="32"/>
      <c r="F686"/>
    </row>
    <row r="687" spans="1:6" s="33" customFormat="1" ht="15.75">
      <c r="A687" s="158"/>
      <c r="B687" s="148"/>
      <c r="C687" s="111"/>
      <c r="D687" s="111"/>
      <c r="E687" s="32"/>
      <c r="F687"/>
    </row>
    <row r="688" spans="1:6" s="33" customFormat="1" ht="15.75">
      <c r="A688" s="158"/>
      <c r="B688" s="148"/>
      <c r="C688" s="111"/>
      <c r="D688" s="111"/>
      <c r="E688" s="32"/>
      <c r="F688"/>
    </row>
    <row r="689" spans="1:6" s="33" customFormat="1" ht="15.75">
      <c r="A689" s="158"/>
      <c r="B689" s="148"/>
      <c r="C689" s="111"/>
      <c r="D689" s="111"/>
      <c r="E689" s="32"/>
      <c r="F689"/>
    </row>
    <row r="690" spans="1:6" s="33" customFormat="1" ht="15.75">
      <c r="A690" s="158"/>
      <c r="B690" s="148"/>
      <c r="C690" s="111"/>
      <c r="D690" s="111"/>
      <c r="E690" s="32"/>
      <c r="F690"/>
    </row>
    <row r="691" spans="1:6" s="33" customFormat="1" ht="15.75">
      <c r="A691" s="158"/>
      <c r="B691" s="148"/>
      <c r="C691" s="111"/>
      <c r="D691" s="111"/>
      <c r="E691" s="32"/>
      <c r="F691"/>
    </row>
    <row r="692" spans="1:6" s="33" customFormat="1" ht="15.75">
      <c r="A692" s="158"/>
      <c r="B692" s="148"/>
      <c r="C692" s="111"/>
      <c r="D692" s="111"/>
      <c r="E692" s="32"/>
      <c r="F692"/>
    </row>
    <row r="693" spans="1:6" s="33" customFormat="1" ht="15.75">
      <c r="A693" s="158"/>
      <c r="B693" s="148"/>
      <c r="C693" s="111"/>
      <c r="D693" s="111"/>
      <c r="E693" s="32"/>
      <c r="F693"/>
    </row>
    <row r="694" spans="1:6" s="33" customFormat="1" ht="15.75">
      <c r="A694" s="158"/>
      <c r="B694" s="148"/>
      <c r="C694" s="111"/>
      <c r="D694" s="111"/>
      <c r="E694" s="32"/>
      <c r="F694"/>
    </row>
    <row r="695" spans="1:6" s="33" customFormat="1" ht="15.75">
      <c r="A695" s="158"/>
      <c r="B695" s="148"/>
      <c r="C695" s="111"/>
      <c r="D695" s="111"/>
      <c r="E695" s="32"/>
      <c r="F695"/>
    </row>
    <row r="696" spans="1:6" s="33" customFormat="1" ht="15.75">
      <c r="A696" s="158"/>
      <c r="B696" s="148"/>
      <c r="C696" s="111"/>
      <c r="D696" s="111"/>
      <c r="E696" s="32"/>
      <c r="F696"/>
    </row>
    <row r="697" spans="1:6" s="33" customFormat="1" ht="15.75">
      <c r="A697" s="158"/>
      <c r="B697" s="148"/>
      <c r="C697" s="111"/>
      <c r="D697" s="111"/>
      <c r="E697" s="32"/>
      <c r="F697"/>
    </row>
    <row r="698" spans="1:6" s="33" customFormat="1" ht="15.75">
      <c r="A698" s="158"/>
      <c r="B698" s="148"/>
      <c r="C698" s="111"/>
      <c r="D698" s="111"/>
      <c r="E698" s="32"/>
      <c r="F698"/>
    </row>
    <row r="699" spans="1:6" s="33" customFormat="1" ht="15.75">
      <c r="A699" s="158"/>
      <c r="B699" s="148"/>
      <c r="C699" s="111"/>
      <c r="D699" s="111"/>
      <c r="E699" s="32"/>
      <c r="F699"/>
    </row>
    <row r="700" spans="1:6" s="33" customFormat="1" ht="15.75">
      <c r="A700" s="158"/>
      <c r="B700" s="148"/>
      <c r="C700" s="111"/>
      <c r="D700" s="111"/>
      <c r="E700" s="32"/>
      <c r="F700"/>
    </row>
    <row r="701" spans="1:6" s="33" customFormat="1" ht="15.75">
      <c r="A701" s="158"/>
      <c r="B701" s="148"/>
      <c r="C701" s="111"/>
      <c r="D701" s="111"/>
      <c r="E701" s="32"/>
      <c r="F701"/>
    </row>
    <row r="702" spans="1:6" s="33" customFormat="1" ht="15.75">
      <c r="A702" s="158"/>
      <c r="B702" s="148"/>
      <c r="C702" s="111"/>
      <c r="D702" s="111"/>
      <c r="E702" s="32"/>
      <c r="F702"/>
    </row>
    <row r="703" spans="1:6" s="33" customFormat="1" ht="15.75">
      <c r="A703" s="158"/>
      <c r="B703" s="148"/>
      <c r="C703" s="111"/>
      <c r="D703" s="111"/>
      <c r="E703" s="32"/>
      <c r="F703"/>
    </row>
    <row r="704" spans="1:6" s="33" customFormat="1" ht="15.75">
      <c r="A704" s="158"/>
      <c r="B704" s="148"/>
      <c r="C704" s="111"/>
      <c r="D704" s="111"/>
      <c r="E704" s="32"/>
      <c r="F704"/>
    </row>
    <row r="705" spans="1:6" s="33" customFormat="1" ht="15.75">
      <c r="A705" s="158"/>
      <c r="B705" s="148"/>
      <c r="C705" s="111"/>
      <c r="D705" s="111"/>
      <c r="E705" s="32"/>
      <c r="F705"/>
    </row>
    <row r="706" spans="1:6" s="33" customFormat="1" ht="15.75">
      <c r="A706" s="158"/>
      <c r="B706" s="148"/>
      <c r="C706" s="111"/>
      <c r="D706" s="111"/>
      <c r="E706" s="32"/>
      <c r="F706"/>
    </row>
    <row r="707" spans="1:6" s="33" customFormat="1" ht="15.75">
      <c r="A707" s="158"/>
      <c r="B707" s="148"/>
      <c r="C707" s="111"/>
      <c r="D707" s="111"/>
      <c r="E707" s="32"/>
      <c r="F707"/>
    </row>
    <row r="708" spans="1:6" s="33" customFormat="1" ht="15.75">
      <c r="A708" s="158"/>
      <c r="B708" s="148"/>
      <c r="C708" s="111"/>
      <c r="D708" s="111"/>
      <c r="E708" s="32"/>
      <c r="F708"/>
    </row>
    <row r="709" spans="1:6" s="33" customFormat="1" ht="15.75">
      <c r="A709" s="158"/>
      <c r="B709" s="148"/>
      <c r="C709" s="111"/>
      <c r="D709" s="111"/>
      <c r="E709" s="32"/>
      <c r="F709"/>
    </row>
    <row r="710" spans="1:6" s="33" customFormat="1" ht="15.75">
      <c r="A710" s="158"/>
      <c r="B710" s="148"/>
      <c r="C710" s="111"/>
      <c r="D710" s="111"/>
      <c r="E710" s="32"/>
      <c r="F710"/>
    </row>
    <row r="711" spans="1:6" s="33" customFormat="1" ht="15.75">
      <c r="A711" s="158"/>
      <c r="B711" s="148"/>
      <c r="C711" s="111"/>
      <c r="D711" s="111"/>
      <c r="E711" s="32"/>
      <c r="F711"/>
    </row>
    <row r="712" spans="1:6" s="33" customFormat="1" ht="15.75">
      <c r="A712" s="158"/>
      <c r="B712" s="148"/>
      <c r="C712" s="111"/>
      <c r="D712" s="111"/>
      <c r="E712" s="32"/>
      <c r="F712"/>
    </row>
    <row r="713" spans="1:6" s="33" customFormat="1" ht="15.75">
      <c r="A713" s="158"/>
      <c r="B713" s="148"/>
      <c r="C713" s="111"/>
      <c r="D713" s="111"/>
      <c r="E713" s="32"/>
      <c r="F713"/>
    </row>
    <row r="714" spans="1:6" s="33" customFormat="1" ht="15.75">
      <c r="A714" s="158"/>
      <c r="B714" s="148"/>
      <c r="C714" s="111"/>
      <c r="D714" s="111"/>
      <c r="E714" s="32"/>
      <c r="F714"/>
    </row>
    <row r="715" spans="1:6" s="33" customFormat="1" ht="15.75">
      <c r="A715" s="158"/>
      <c r="B715" s="148"/>
      <c r="C715" s="111"/>
      <c r="D715" s="111"/>
      <c r="E715" s="32"/>
      <c r="F715"/>
    </row>
    <row r="716" spans="1:6" s="33" customFormat="1" ht="15.75">
      <c r="A716" s="158"/>
      <c r="B716" s="148"/>
      <c r="C716" s="111"/>
      <c r="D716" s="111"/>
      <c r="E716" s="32"/>
      <c r="F716"/>
    </row>
    <row r="717" spans="1:6" s="33" customFormat="1" ht="15.75">
      <c r="A717" s="158"/>
      <c r="B717" s="148"/>
      <c r="C717" s="111"/>
      <c r="D717" s="111"/>
      <c r="E717" s="32"/>
      <c r="F717"/>
    </row>
    <row r="718" spans="1:6" s="33" customFormat="1" ht="15.75">
      <c r="A718" s="158"/>
      <c r="B718" s="148"/>
      <c r="C718" s="111"/>
      <c r="D718" s="111"/>
      <c r="E718" s="32"/>
      <c r="F718"/>
    </row>
    <row r="719" spans="1:6" s="33" customFormat="1" ht="15.75">
      <c r="A719" s="158"/>
      <c r="B719" s="148"/>
      <c r="C719" s="111"/>
      <c r="D719" s="111"/>
      <c r="E719" s="32"/>
      <c r="F719"/>
    </row>
    <row r="720" spans="1:6" s="33" customFormat="1" ht="15.75">
      <c r="A720" s="158"/>
      <c r="B720" s="148"/>
      <c r="C720" s="111"/>
      <c r="D720" s="111"/>
      <c r="E720" s="32"/>
      <c r="F720"/>
    </row>
    <row r="721" spans="1:6" s="33" customFormat="1" ht="15.75">
      <c r="A721" s="158"/>
      <c r="B721" s="148"/>
      <c r="C721" s="111"/>
      <c r="D721" s="111"/>
      <c r="E721" s="32"/>
      <c r="F721"/>
    </row>
    <row r="722" spans="1:6" s="33" customFormat="1" ht="15.75">
      <c r="A722" s="158"/>
      <c r="B722" s="148"/>
      <c r="C722" s="111"/>
      <c r="D722" s="111"/>
      <c r="E722" s="32"/>
      <c r="F722"/>
    </row>
    <row r="723" spans="1:6" s="33" customFormat="1" ht="15.75">
      <c r="A723" s="158"/>
      <c r="B723" s="148"/>
      <c r="C723" s="111"/>
      <c r="D723" s="111"/>
      <c r="E723" s="32"/>
      <c r="F723"/>
    </row>
    <row r="724" spans="1:6" s="33" customFormat="1" ht="15.75">
      <c r="A724" s="158"/>
      <c r="B724" s="148"/>
      <c r="C724" s="111"/>
      <c r="D724" s="111"/>
      <c r="E724" s="32"/>
      <c r="F724"/>
    </row>
    <row r="725" spans="1:6" s="33" customFormat="1" ht="15.75">
      <c r="A725" s="158"/>
      <c r="B725" s="148"/>
      <c r="C725" s="111"/>
      <c r="D725" s="111"/>
      <c r="E725" s="32"/>
      <c r="F725"/>
    </row>
    <row r="726" spans="1:6" s="33" customFormat="1" ht="15.75">
      <c r="A726" s="158"/>
      <c r="B726" s="148"/>
      <c r="C726" s="111"/>
      <c r="D726" s="111"/>
      <c r="E726" s="32"/>
      <c r="F726"/>
    </row>
    <row r="727" spans="1:6" s="33" customFormat="1" ht="15.75">
      <c r="A727" s="158"/>
      <c r="B727" s="148"/>
      <c r="C727" s="111"/>
      <c r="D727" s="111"/>
      <c r="E727" s="32"/>
      <c r="F727"/>
    </row>
    <row r="728" spans="1:6" s="33" customFormat="1" ht="15.75">
      <c r="A728" s="158"/>
      <c r="B728" s="148"/>
      <c r="C728" s="111"/>
      <c r="D728" s="111"/>
      <c r="E728" s="32"/>
      <c r="F728"/>
    </row>
    <row r="729" spans="1:6" s="33" customFormat="1" ht="15.75">
      <c r="A729" s="158"/>
      <c r="B729" s="148"/>
      <c r="C729" s="111"/>
      <c r="D729" s="111"/>
      <c r="E729" s="32"/>
      <c r="F729"/>
    </row>
    <row r="730" spans="1:6" s="33" customFormat="1" ht="15.75">
      <c r="A730" s="158"/>
      <c r="B730" s="148"/>
      <c r="C730" s="111"/>
      <c r="D730" s="111"/>
      <c r="E730" s="32"/>
      <c r="F730"/>
    </row>
    <row r="731" spans="1:6" s="33" customFormat="1" ht="15.75">
      <c r="A731" s="158"/>
      <c r="B731" s="148"/>
      <c r="C731" s="111"/>
      <c r="D731" s="111"/>
      <c r="E731" s="32"/>
      <c r="F731"/>
    </row>
    <row r="732" spans="1:6" s="33" customFormat="1" ht="15.75">
      <c r="A732" s="158"/>
      <c r="B732" s="148"/>
      <c r="C732" s="111"/>
      <c r="D732" s="111"/>
      <c r="E732" s="32"/>
      <c r="F732"/>
    </row>
    <row r="733" spans="1:6" s="33" customFormat="1" ht="15.75">
      <c r="A733" s="158"/>
      <c r="B733" s="148"/>
      <c r="C733" s="111"/>
      <c r="D733" s="111"/>
      <c r="E733" s="32"/>
      <c r="F733"/>
    </row>
    <row r="734" spans="1:6" s="33" customFormat="1" ht="15.75">
      <c r="A734" s="158"/>
      <c r="B734" s="148"/>
      <c r="C734" s="111"/>
      <c r="D734" s="111"/>
      <c r="E734" s="32"/>
      <c r="F734"/>
    </row>
    <row r="735" spans="1:6" s="33" customFormat="1" ht="15.75">
      <c r="A735" s="158"/>
      <c r="B735" s="148"/>
      <c r="C735" s="111"/>
      <c r="D735" s="111"/>
      <c r="E735" s="32"/>
      <c r="F735"/>
    </row>
    <row r="736" spans="1:6" s="33" customFormat="1" ht="15.75">
      <c r="A736" s="158"/>
      <c r="B736" s="148"/>
      <c r="C736" s="111"/>
      <c r="D736" s="111"/>
      <c r="E736" s="32"/>
      <c r="F736"/>
    </row>
    <row r="737" spans="1:6" s="33" customFormat="1" ht="15.75">
      <c r="A737" s="158"/>
      <c r="B737" s="148"/>
      <c r="C737" s="111"/>
      <c r="D737" s="111"/>
      <c r="E737" s="32"/>
      <c r="F737"/>
    </row>
    <row r="738" spans="1:6" s="33" customFormat="1" ht="15.75">
      <c r="A738" s="158"/>
      <c r="B738" s="148"/>
      <c r="C738" s="111"/>
      <c r="D738" s="111"/>
      <c r="E738" s="32"/>
      <c r="F738"/>
    </row>
    <row r="739" spans="1:6" s="33" customFormat="1" ht="15.75">
      <c r="A739" s="158"/>
      <c r="B739" s="148"/>
      <c r="C739" s="111"/>
      <c r="D739" s="111"/>
      <c r="E739" s="32"/>
      <c r="F739"/>
    </row>
    <row r="740" spans="1:6" s="33" customFormat="1" ht="15.75">
      <c r="A740" s="158"/>
      <c r="B740" s="148"/>
      <c r="C740" s="111"/>
      <c r="D740" s="111"/>
      <c r="E740" s="32"/>
      <c r="F740"/>
    </row>
    <row r="741" spans="1:6" s="33" customFormat="1" ht="15.75">
      <c r="A741" s="158"/>
      <c r="B741" s="148"/>
      <c r="C741" s="111"/>
      <c r="D741" s="111"/>
      <c r="E741" s="32"/>
      <c r="F741"/>
    </row>
    <row r="742" spans="1:6" s="33" customFormat="1" ht="15.75">
      <c r="A742" s="158"/>
      <c r="B742" s="148"/>
      <c r="C742" s="111"/>
      <c r="D742" s="111"/>
      <c r="E742" s="32"/>
      <c r="F742"/>
    </row>
    <row r="743" spans="1:6" s="33" customFormat="1" ht="15.75">
      <c r="A743" s="158"/>
      <c r="B743" s="148"/>
      <c r="C743" s="111"/>
      <c r="D743" s="111"/>
      <c r="E743" s="32"/>
      <c r="F743"/>
    </row>
    <row r="744" spans="1:6" s="33" customFormat="1" ht="15.75">
      <c r="A744" s="158"/>
      <c r="B744" s="148"/>
      <c r="C744" s="111"/>
      <c r="D744" s="111"/>
      <c r="E744" s="32"/>
      <c r="F744"/>
    </row>
    <row r="745" spans="1:6" s="33" customFormat="1" ht="15.75">
      <c r="A745" s="158"/>
      <c r="B745" s="148"/>
      <c r="C745" s="111"/>
      <c r="D745" s="111"/>
      <c r="E745" s="32"/>
      <c r="F745"/>
    </row>
    <row r="746" spans="1:6" s="33" customFormat="1" ht="15.75">
      <c r="A746" s="158"/>
      <c r="B746" s="148"/>
      <c r="C746" s="111"/>
      <c r="D746" s="111"/>
      <c r="E746" s="32"/>
      <c r="F746"/>
    </row>
    <row r="747" spans="1:6" s="33" customFormat="1" ht="15.75">
      <c r="A747" s="158"/>
      <c r="B747" s="148"/>
      <c r="C747" s="111"/>
      <c r="D747" s="111"/>
      <c r="E747" s="32"/>
      <c r="F747"/>
    </row>
    <row r="748" spans="1:6" s="33" customFormat="1" ht="15.75">
      <c r="A748" s="158"/>
      <c r="B748" s="148"/>
      <c r="C748" s="111"/>
      <c r="D748" s="111"/>
      <c r="E748" s="32"/>
      <c r="F748"/>
    </row>
    <row r="749" spans="1:6" s="33" customFormat="1" ht="15.75">
      <c r="A749" s="158"/>
      <c r="B749" s="148"/>
      <c r="C749" s="111"/>
      <c r="D749" s="111"/>
      <c r="E749" s="32"/>
      <c r="F749"/>
    </row>
    <row r="750" spans="1:6" s="33" customFormat="1" ht="15.75">
      <c r="A750" s="158"/>
      <c r="B750" s="148"/>
      <c r="C750" s="111"/>
      <c r="D750" s="111"/>
      <c r="E750" s="32"/>
      <c r="F750"/>
    </row>
    <row r="751" spans="1:6" s="33" customFormat="1" ht="15.75">
      <c r="A751" s="158"/>
      <c r="B751" s="148"/>
      <c r="C751" s="111"/>
      <c r="D751" s="111"/>
      <c r="E751" s="32"/>
      <c r="F751"/>
    </row>
    <row r="752" spans="1:6" s="33" customFormat="1" ht="15.75">
      <c r="A752" s="158"/>
      <c r="B752" s="148"/>
      <c r="C752" s="111"/>
      <c r="D752" s="111"/>
      <c r="E752" s="32"/>
      <c r="F752"/>
    </row>
    <row r="753" spans="1:6" s="33" customFormat="1" ht="15.75">
      <c r="A753" s="158"/>
      <c r="B753" s="148"/>
      <c r="C753" s="111"/>
      <c r="D753" s="111"/>
      <c r="E753" s="32"/>
      <c r="F753"/>
    </row>
    <row r="754" spans="1:6" s="33" customFormat="1" ht="15.75">
      <c r="A754" s="158"/>
      <c r="B754" s="148"/>
      <c r="C754" s="111"/>
      <c r="D754" s="111"/>
      <c r="E754" s="32"/>
      <c r="F754"/>
    </row>
    <row r="755" spans="1:6" s="33" customFormat="1" ht="15.75">
      <c r="A755" s="158"/>
      <c r="B755" s="148"/>
      <c r="C755" s="111"/>
      <c r="D755" s="111"/>
      <c r="E755" s="32"/>
      <c r="F755"/>
    </row>
    <row r="756" spans="1:6" s="33" customFormat="1" ht="15.75">
      <c r="A756" s="158"/>
      <c r="B756" s="148"/>
      <c r="C756" s="111"/>
      <c r="D756" s="111"/>
      <c r="E756" s="32"/>
      <c r="F756"/>
    </row>
    <row r="757" spans="1:6" s="33" customFormat="1" ht="15.75">
      <c r="A757" s="158"/>
      <c r="B757" s="148"/>
      <c r="C757" s="111"/>
      <c r="D757" s="111"/>
      <c r="E757" s="32"/>
      <c r="F757"/>
    </row>
    <row r="758" spans="1:6" s="33" customFormat="1" ht="15.75">
      <c r="A758" s="158"/>
      <c r="B758" s="148"/>
      <c r="C758" s="111"/>
      <c r="D758" s="111"/>
      <c r="E758" s="32"/>
      <c r="F758"/>
    </row>
    <row r="759" spans="1:6" s="33" customFormat="1" ht="15.75">
      <c r="A759" s="158"/>
      <c r="B759" s="148"/>
      <c r="C759" s="111"/>
      <c r="D759" s="111"/>
      <c r="E759" s="32"/>
      <c r="F759"/>
    </row>
    <row r="760" spans="1:6" s="33" customFormat="1" ht="15.75">
      <c r="A760" s="158"/>
      <c r="B760" s="148"/>
      <c r="C760" s="111"/>
      <c r="D760" s="111"/>
      <c r="E760" s="32"/>
      <c r="F760"/>
    </row>
    <row r="761" spans="1:6" s="33" customFormat="1" ht="15.75">
      <c r="A761" s="158"/>
      <c r="B761" s="148"/>
      <c r="C761" s="111"/>
      <c r="D761" s="111"/>
      <c r="E761" s="32"/>
      <c r="F761"/>
    </row>
    <row r="762" spans="1:6" s="33" customFormat="1" ht="15.75">
      <c r="A762" s="158"/>
      <c r="B762" s="148"/>
      <c r="C762" s="111"/>
      <c r="D762" s="111"/>
      <c r="E762" s="32"/>
      <c r="F762"/>
    </row>
    <row r="763" spans="1:6" s="33" customFormat="1" ht="15.75">
      <c r="A763" s="158"/>
      <c r="B763" s="148"/>
      <c r="C763" s="111"/>
      <c r="D763" s="111"/>
      <c r="E763" s="32"/>
      <c r="F763"/>
    </row>
    <row r="764" spans="1:6" s="33" customFormat="1" ht="15.75">
      <c r="A764" s="158"/>
      <c r="B764" s="148"/>
      <c r="C764" s="111"/>
      <c r="D764" s="111"/>
      <c r="E764" s="32"/>
      <c r="F764"/>
    </row>
    <row r="765" spans="1:6" s="33" customFormat="1" ht="15.75">
      <c r="A765" s="158"/>
      <c r="B765" s="148"/>
      <c r="C765" s="111"/>
      <c r="D765" s="111"/>
      <c r="E765" s="32"/>
      <c r="F765"/>
    </row>
    <row r="766" spans="1:6" s="33" customFormat="1" ht="15.75">
      <c r="A766" s="158"/>
      <c r="B766" s="148"/>
      <c r="C766" s="111"/>
      <c r="D766" s="111"/>
      <c r="E766" s="32"/>
      <c r="F766"/>
    </row>
    <row r="767" spans="1:6" s="33" customFormat="1" ht="15.75">
      <c r="A767" s="158"/>
      <c r="B767" s="148"/>
      <c r="C767" s="111"/>
      <c r="D767" s="111"/>
      <c r="E767" s="32"/>
      <c r="F767"/>
    </row>
    <row r="768" spans="1:6" s="33" customFormat="1" ht="15.75">
      <c r="A768" s="158"/>
      <c r="B768" s="148"/>
      <c r="C768" s="111"/>
      <c r="D768" s="111"/>
      <c r="E768" s="32"/>
      <c r="F768"/>
    </row>
    <row r="769" spans="1:6" s="33" customFormat="1" ht="15.75">
      <c r="A769" s="158"/>
      <c r="B769" s="148"/>
      <c r="C769" s="111"/>
      <c r="D769" s="111"/>
      <c r="E769" s="32"/>
      <c r="F769"/>
    </row>
    <row r="770" spans="1:6" s="33" customFormat="1" ht="15.75">
      <c r="A770" s="158"/>
      <c r="B770" s="148"/>
      <c r="C770" s="111"/>
      <c r="D770" s="111"/>
      <c r="E770" s="32"/>
      <c r="F770"/>
    </row>
    <row r="771" spans="1:6" s="33" customFormat="1" ht="15.75">
      <c r="A771" s="158"/>
      <c r="B771" s="148"/>
      <c r="C771" s="111"/>
      <c r="D771" s="111"/>
      <c r="E771" s="32"/>
      <c r="F771"/>
    </row>
    <row r="772" spans="1:6" s="33" customFormat="1" ht="15.75">
      <c r="A772" s="158"/>
      <c r="B772" s="148"/>
      <c r="C772" s="111"/>
      <c r="D772" s="111"/>
      <c r="E772" s="32"/>
      <c r="F772"/>
    </row>
    <row r="773" spans="1:6" s="33" customFormat="1" ht="15.75">
      <c r="A773" s="158"/>
      <c r="B773" s="148"/>
      <c r="C773" s="111"/>
      <c r="D773" s="111"/>
      <c r="E773" s="32"/>
      <c r="F773"/>
    </row>
    <row r="774" spans="1:6" s="33" customFormat="1" ht="15.75">
      <c r="A774" s="158"/>
      <c r="B774" s="148"/>
      <c r="C774" s="111"/>
      <c r="D774" s="111"/>
      <c r="E774" s="32"/>
      <c r="F774"/>
    </row>
    <row r="775" spans="1:6" s="33" customFormat="1" ht="15.75">
      <c r="A775" s="158"/>
      <c r="B775" s="148"/>
      <c r="C775" s="111"/>
      <c r="D775" s="111"/>
      <c r="E775" s="32"/>
      <c r="F775"/>
    </row>
    <row r="776" spans="1:6" s="33" customFormat="1" ht="15.75">
      <c r="A776" s="158"/>
      <c r="B776" s="148"/>
      <c r="C776" s="111"/>
      <c r="D776" s="111"/>
      <c r="E776" s="32"/>
      <c r="F776"/>
    </row>
    <row r="777" spans="1:6" s="33" customFormat="1" ht="15.75">
      <c r="A777" s="158"/>
      <c r="B777" s="148"/>
      <c r="C777" s="111"/>
      <c r="D777" s="111"/>
      <c r="E777" s="32"/>
      <c r="F777"/>
    </row>
    <row r="778" spans="1:6" s="33" customFormat="1" ht="15.75">
      <c r="A778" s="158"/>
      <c r="B778" s="148"/>
      <c r="C778" s="111"/>
      <c r="D778" s="111"/>
      <c r="E778" s="32"/>
      <c r="F778"/>
    </row>
    <row r="779" spans="1:6" s="33" customFormat="1" ht="15.75">
      <c r="A779" s="158"/>
      <c r="B779" s="148"/>
      <c r="C779" s="111"/>
      <c r="D779" s="111"/>
      <c r="E779" s="32"/>
      <c r="F779"/>
    </row>
    <row r="780" spans="1:6" s="33" customFormat="1" ht="15.75">
      <c r="A780" s="158"/>
      <c r="B780" s="148"/>
      <c r="C780" s="111"/>
      <c r="D780" s="111"/>
      <c r="E780" s="32"/>
      <c r="F780"/>
    </row>
    <row r="781" spans="1:6" s="33" customFormat="1" ht="15.75">
      <c r="A781" s="158"/>
      <c r="B781" s="148"/>
      <c r="C781" s="111"/>
      <c r="D781" s="111"/>
      <c r="E781" s="32"/>
      <c r="F781"/>
    </row>
    <row r="782" spans="1:6" s="33" customFormat="1" ht="15.75">
      <c r="A782" s="158"/>
      <c r="B782" s="148"/>
      <c r="C782" s="111"/>
      <c r="D782" s="111"/>
      <c r="E782" s="32"/>
      <c r="F782"/>
    </row>
    <row r="783" spans="1:6" s="33" customFormat="1" ht="15.75">
      <c r="A783" s="158"/>
      <c r="B783" s="148"/>
      <c r="C783" s="111"/>
      <c r="D783" s="111"/>
      <c r="E783" s="32"/>
      <c r="F783"/>
    </row>
    <row r="784" spans="1:6" s="33" customFormat="1" ht="15.75">
      <c r="A784" s="158"/>
      <c r="B784" s="148"/>
      <c r="C784" s="111"/>
      <c r="D784" s="111"/>
      <c r="E784" s="32"/>
      <c r="F784"/>
    </row>
    <row r="785" spans="1:6" s="33" customFormat="1" ht="15.75">
      <c r="A785" s="158"/>
      <c r="B785" s="148"/>
      <c r="C785" s="111"/>
      <c r="D785" s="111"/>
      <c r="E785" s="32"/>
      <c r="F785"/>
    </row>
    <row r="786" spans="1:6" s="33" customFormat="1" ht="15.75">
      <c r="A786" s="158"/>
      <c r="B786" s="148"/>
      <c r="C786" s="111"/>
      <c r="D786" s="111"/>
      <c r="E786" s="32"/>
      <c r="F786"/>
    </row>
    <row r="787" spans="1:6" s="33" customFormat="1" ht="15.75">
      <c r="A787" s="158"/>
      <c r="B787" s="148"/>
      <c r="C787" s="111"/>
      <c r="D787" s="111"/>
      <c r="E787" s="32"/>
      <c r="F787"/>
    </row>
    <row r="788" spans="1:6" s="33" customFormat="1" ht="15.75">
      <c r="A788" s="158"/>
      <c r="B788" s="148"/>
      <c r="C788" s="111"/>
      <c r="D788" s="111"/>
      <c r="E788" s="32"/>
      <c r="F788"/>
    </row>
    <row r="789" spans="1:6" s="33" customFormat="1" ht="15.75">
      <c r="A789" s="158"/>
      <c r="B789" s="148"/>
      <c r="C789" s="111"/>
      <c r="D789" s="111"/>
      <c r="E789" s="32"/>
      <c r="F789"/>
    </row>
    <row r="790" spans="1:6" s="33" customFormat="1" ht="15.75">
      <c r="A790" s="158"/>
      <c r="B790" s="148"/>
      <c r="C790" s="111"/>
      <c r="D790" s="111"/>
      <c r="E790" s="32"/>
      <c r="F790"/>
    </row>
    <row r="791" spans="1:6" s="33" customFormat="1" ht="15.75">
      <c r="A791" s="158"/>
      <c r="B791" s="148"/>
      <c r="C791" s="111"/>
      <c r="D791" s="111"/>
      <c r="E791" s="32"/>
      <c r="F791"/>
    </row>
    <row r="792" spans="1:6" s="33" customFormat="1" ht="15.75">
      <c r="A792" s="158"/>
      <c r="B792" s="148"/>
      <c r="C792" s="111"/>
      <c r="D792" s="111"/>
      <c r="E792" s="32"/>
      <c r="F792"/>
    </row>
    <row r="793" spans="1:6" s="33" customFormat="1" ht="15.75">
      <c r="A793" s="158"/>
      <c r="B793" s="148"/>
      <c r="C793" s="111"/>
      <c r="D793" s="111"/>
      <c r="E793" s="32"/>
      <c r="F793"/>
    </row>
    <row r="794" spans="1:6" s="33" customFormat="1" ht="15.75">
      <c r="A794" s="158"/>
      <c r="B794" s="148"/>
      <c r="C794" s="111"/>
      <c r="D794" s="111"/>
      <c r="E794" s="32"/>
      <c r="F794"/>
    </row>
    <row r="795" spans="1:6" s="33" customFormat="1" ht="15.75">
      <c r="A795" s="158"/>
      <c r="B795" s="148"/>
      <c r="C795" s="111"/>
      <c r="D795" s="111"/>
      <c r="E795" s="32"/>
      <c r="F795"/>
    </row>
    <row r="796" spans="1:6" s="33" customFormat="1" ht="15.75">
      <c r="A796" s="158"/>
      <c r="B796" s="148"/>
      <c r="C796" s="111"/>
      <c r="D796" s="111"/>
      <c r="E796" s="32"/>
      <c r="F796"/>
    </row>
    <row r="797" spans="1:6" s="33" customFormat="1" ht="15.75">
      <c r="A797" s="158"/>
      <c r="B797" s="148"/>
      <c r="C797" s="111"/>
      <c r="D797" s="111"/>
      <c r="E797" s="32"/>
      <c r="F797"/>
    </row>
    <row r="798" spans="1:6" s="33" customFormat="1" ht="15.75">
      <c r="A798" s="158"/>
      <c r="B798" s="148"/>
      <c r="C798" s="111"/>
      <c r="D798" s="111"/>
      <c r="E798" s="32"/>
      <c r="F798"/>
    </row>
    <row r="799" spans="1:6" s="33" customFormat="1" ht="15.75">
      <c r="A799" s="158"/>
      <c r="B799" s="148"/>
      <c r="C799" s="111"/>
      <c r="D799" s="111"/>
      <c r="E799" s="32"/>
      <c r="F799"/>
    </row>
    <row r="800" spans="1:6" s="33" customFormat="1" ht="15.75">
      <c r="A800" s="158"/>
      <c r="B800" s="148"/>
      <c r="C800" s="111"/>
      <c r="D800" s="111"/>
      <c r="E800" s="32"/>
      <c r="F800"/>
    </row>
    <row r="801" spans="1:6" s="33" customFormat="1" ht="15.75">
      <c r="A801" s="158"/>
      <c r="B801" s="148"/>
      <c r="C801" s="111"/>
      <c r="D801" s="111"/>
      <c r="E801" s="32"/>
      <c r="F801"/>
    </row>
    <row r="802" spans="1:6" s="33" customFormat="1" ht="15.75">
      <c r="A802" s="158"/>
      <c r="B802" s="148"/>
      <c r="C802" s="111"/>
      <c r="D802" s="111"/>
      <c r="E802" s="32"/>
      <c r="F802"/>
    </row>
    <row r="803" spans="1:6" s="33" customFormat="1" ht="15.75">
      <c r="A803" s="158"/>
      <c r="B803" s="148"/>
      <c r="C803" s="111"/>
      <c r="D803" s="111"/>
      <c r="E803" s="32"/>
      <c r="F803"/>
    </row>
    <row r="804" spans="1:6" s="33" customFormat="1" ht="15.75">
      <c r="A804" s="158"/>
      <c r="B804" s="148"/>
      <c r="C804" s="111"/>
      <c r="D804" s="111"/>
      <c r="E804" s="32"/>
      <c r="F804"/>
    </row>
    <row r="805" spans="1:6" s="33" customFormat="1" ht="15.75">
      <c r="A805" s="158"/>
      <c r="B805" s="148"/>
      <c r="C805" s="111"/>
      <c r="D805" s="111"/>
      <c r="E805" s="32"/>
      <c r="F805"/>
    </row>
    <row r="806" spans="1:6" s="33" customFormat="1" ht="15.75">
      <c r="A806" s="158"/>
      <c r="B806" s="148"/>
      <c r="C806" s="111"/>
      <c r="D806" s="111"/>
      <c r="E806" s="32"/>
      <c r="F806"/>
    </row>
    <row r="807" spans="1:6" s="33" customFormat="1" ht="15.75">
      <c r="A807" s="158"/>
      <c r="B807" s="148"/>
      <c r="C807" s="111"/>
      <c r="D807" s="111"/>
      <c r="E807" s="32"/>
      <c r="F807"/>
    </row>
    <row r="808" spans="1:6" s="33" customFormat="1" ht="15.75">
      <c r="A808" s="158"/>
      <c r="B808" s="148"/>
      <c r="C808" s="111"/>
      <c r="D808" s="111"/>
      <c r="E808" s="32"/>
      <c r="F808"/>
    </row>
    <row r="809" spans="1:6" s="33" customFormat="1" ht="15.75">
      <c r="A809" s="158"/>
      <c r="B809" s="148"/>
      <c r="C809" s="111"/>
      <c r="D809" s="111"/>
      <c r="E809" s="32"/>
      <c r="F809"/>
    </row>
    <row r="810" spans="1:6" s="33" customFormat="1" ht="15.75">
      <c r="A810" s="158"/>
      <c r="B810" s="148"/>
      <c r="C810" s="111"/>
      <c r="D810" s="111"/>
      <c r="E810" s="32"/>
      <c r="F810"/>
    </row>
    <row r="811" spans="1:6" s="33" customFormat="1" ht="15.75">
      <c r="A811" s="158"/>
      <c r="B811" s="148"/>
      <c r="C811" s="111"/>
      <c r="D811" s="111"/>
      <c r="E811" s="32"/>
      <c r="F811"/>
    </row>
    <row r="812" spans="1:6" s="33" customFormat="1" ht="15.75">
      <c r="A812" s="158"/>
      <c r="B812" s="148"/>
      <c r="C812" s="111"/>
      <c r="D812" s="111"/>
      <c r="E812" s="32"/>
      <c r="F812"/>
    </row>
    <row r="813" spans="1:6" s="33" customFormat="1" ht="15.75">
      <c r="A813" s="158"/>
      <c r="B813" s="148"/>
      <c r="C813" s="111"/>
      <c r="D813" s="111"/>
      <c r="E813" s="32"/>
      <c r="F813"/>
    </row>
    <row r="814" spans="1:6" s="33" customFormat="1" ht="15.75">
      <c r="A814" s="158"/>
      <c r="B814" s="148"/>
      <c r="C814" s="111"/>
      <c r="D814" s="111"/>
      <c r="E814" s="32"/>
      <c r="F814"/>
    </row>
    <row r="815" spans="1:6" s="33" customFormat="1" ht="15.75">
      <c r="A815" s="158"/>
      <c r="B815" s="148"/>
      <c r="C815" s="111"/>
      <c r="D815" s="111"/>
      <c r="E815" s="32"/>
      <c r="F815"/>
    </row>
    <row r="816" spans="1:6" s="33" customFormat="1" ht="15.75">
      <c r="A816" s="158"/>
      <c r="B816" s="148"/>
      <c r="C816" s="111"/>
      <c r="D816" s="111"/>
      <c r="E816" s="32"/>
      <c r="F816"/>
    </row>
    <row r="817" spans="1:6" s="33" customFormat="1" ht="15.75">
      <c r="A817" s="158"/>
      <c r="B817" s="148"/>
      <c r="C817" s="111"/>
      <c r="D817" s="111"/>
      <c r="E817" s="32"/>
      <c r="F817"/>
    </row>
    <row r="818" spans="1:6" s="33" customFormat="1" ht="15.75">
      <c r="A818" s="158"/>
      <c r="B818" s="148"/>
      <c r="C818" s="111"/>
      <c r="D818" s="111"/>
      <c r="E818" s="32"/>
      <c r="F818"/>
    </row>
    <row r="819" spans="1:6" s="33" customFormat="1" ht="15.75">
      <c r="A819" s="158"/>
      <c r="B819" s="148"/>
      <c r="C819" s="111"/>
      <c r="D819" s="111"/>
      <c r="E819" s="32"/>
      <c r="F819"/>
    </row>
    <row r="820" spans="1:6" s="33" customFormat="1" ht="15.75">
      <c r="A820" s="158"/>
      <c r="B820" s="148"/>
      <c r="C820" s="111"/>
      <c r="D820" s="111"/>
      <c r="E820" s="32"/>
      <c r="F820"/>
    </row>
    <row r="821" spans="1:6" s="33" customFormat="1" ht="15.75">
      <c r="A821" s="158"/>
      <c r="B821" s="148"/>
      <c r="C821" s="111"/>
      <c r="D821" s="111"/>
      <c r="E821" s="32"/>
      <c r="F821"/>
    </row>
    <row r="822" spans="1:6" s="33" customFormat="1" ht="15.75">
      <c r="A822" s="158"/>
      <c r="B822" s="148"/>
      <c r="C822" s="111"/>
      <c r="D822" s="111"/>
      <c r="E822" s="32"/>
      <c r="F822"/>
    </row>
    <row r="823" spans="1:6" s="33" customFormat="1" ht="15.75">
      <c r="A823" s="158"/>
      <c r="B823" s="148"/>
      <c r="C823" s="111"/>
      <c r="D823" s="111"/>
      <c r="E823" s="32"/>
      <c r="F823"/>
    </row>
    <row r="824" spans="1:6" s="33" customFormat="1" ht="15.75">
      <c r="A824" s="158"/>
      <c r="B824" s="148"/>
      <c r="C824" s="111"/>
      <c r="D824" s="111"/>
      <c r="E824" s="32"/>
      <c r="F824"/>
    </row>
    <row r="825" spans="1:6" s="33" customFormat="1" ht="15.75">
      <c r="A825" s="158"/>
      <c r="B825" s="148"/>
      <c r="C825" s="111"/>
      <c r="D825" s="111"/>
      <c r="E825" s="32"/>
      <c r="F825"/>
    </row>
    <row r="826" spans="1:6" s="33" customFormat="1" ht="15.75">
      <c r="A826" s="158"/>
      <c r="B826" s="148"/>
      <c r="C826" s="111"/>
      <c r="D826" s="111"/>
      <c r="E826" s="32"/>
      <c r="F826"/>
    </row>
    <row r="827" spans="1:6" s="33" customFormat="1" ht="15.75">
      <c r="A827" s="158"/>
      <c r="B827" s="148"/>
      <c r="C827" s="111"/>
      <c r="D827" s="111"/>
      <c r="E827" s="32"/>
      <c r="F827"/>
    </row>
    <row r="828" spans="1:6" s="33" customFormat="1" ht="15.75">
      <c r="A828" s="158"/>
      <c r="B828" s="148"/>
      <c r="C828" s="111"/>
      <c r="D828" s="111"/>
      <c r="E828" s="32"/>
      <c r="F828"/>
    </row>
    <row r="829" spans="1:6" s="33" customFormat="1" ht="15.75">
      <c r="A829" s="158"/>
      <c r="B829" s="148"/>
      <c r="C829" s="111"/>
      <c r="D829" s="111"/>
      <c r="E829" s="32"/>
      <c r="F829"/>
    </row>
    <row r="830" spans="1:6" s="33" customFormat="1" ht="15.75">
      <c r="A830" s="158"/>
      <c r="B830" s="148"/>
      <c r="C830" s="111"/>
      <c r="D830" s="111"/>
      <c r="E830" s="32"/>
      <c r="F830"/>
    </row>
    <row r="831" spans="1:6" s="33" customFormat="1" ht="15.75">
      <c r="A831" s="158"/>
      <c r="B831" s="148"/>
      <c r="C831" s="111"/>
      <c r="D831" s="111"/>
      <c r="E831" s="32"/>
      <c r="F831"/>
    </row>
    <row r="832" spans="1:6" s="33" customFormat="1" ht="15.75">
      <c r="A832" s="158"/>
      <c r="B832" s="148"/>
      <c r="C832" s="111"/>
      <c r="D832" s="111"/>
      <c r="E832" s="32"/>
      <c r="F832"/>
    </row>
    <row r="833" spans="1:6" s="33" customFormat="1" ht="15.75">
      <c r="A833" s="158"/>
      <c r="B833" s="148"/>
      <c r="C833" s="111"/>
      <c r="D833" s="111"/>
      <c r="E833" s="32"/>
      <c r="F833"/>
    </row>
    <row r="834" spans="1:6" s="33" customFormat="1" ht="15.75">
      <c r="A834" s="158"/>
      <c r="B834" s="148"/>
      <c r="C834" s="111"/>
      <c r="D834" s="111"/>
      <c r="E834" s="32"/>
      <c r="F834"/>
    </row>
    <row r="835" spans="1:6" s="33" customFormat="1" ht="15.75">
      <c r="A835" s="158"/>
      <c r="B835" s="148"/>
      <c r="C835" s="111"/>
      <c r="D835" s="111"/>
      <c r="E835" s="32"/>
      <c r="F835"/>
    </row>
    <row r="836" spans="1:6" s="33" customFormat="1" ht="15.75">
      <c r="A836" s="158"/>
      <c r="B836" s="148"/>
      <c r="C836" s="111"/>
      <c r="D836" s="111"/>
      <c r="E836" s="32"/>
      <c r="F836"/>
    </row>
    <row r="837" spans="1:6" s="33" customFormat="1" ht="15.75">
      <c r="A837" s="158"/>
      <c r="B837" s="148"/>
      <c r="C837" s="111"/>
      <c r="D837" s="111"/>
      <c r="E837" s="32"/>
      <c r="F837"/>
    </row>
    <row r="838" spans="1:6" s="33" customFormat="1" ht="15.75">
      <c r="A838" s="158"/>
      <c r="B838" s="148"/>
      <c r="C838" s="111"/>
      <c r="D838" s="111"/>
      <c r="E838" s="32"/>
      <c r="F838"/>
    </row>
    <row r="839" spans="1:6" s="33" customFormat="1" ht="15.75">
      <c r="A839" s="158"/>
      <c r="B839" s="148"/>
      <c r="C839" s="111"/>
      <c r="D839" s="111"/>
      <c r="E839" s="32"/>
      <c r="F839"/>
    </row>
    <row r="840" spans="1:6" s="33" customFormat="1" ht="15.75">
      <c r="A840" s="158"/>
      <c r="B840" s="148"/>
      <c r="C840" s="111"/>
      <c r="D840" s="111"/>
      <c r="E840" s="32"/>
      <c r="F840"/>
    </row>
    <row r="841" spans="1:6" s="33" customFormat="1" ht="15.75">
      <c r="A841" s="158"/>
      <c r="B841" s="148"/>
      <c r="C841" s="111"/>
      <c r="D841" s="111"/>
      <c r="E841" s="32"/>
      <c r="F841"/>
    </row>
    <row r="842" spans="1:6" s="33" customFormat="1" ht="15.75">
      <c r="A842" s="158"/>
      <c r="B842" s="148"/>
      <c r="C842" s="111"/>
      <c r="D842" s="111"/>
      <c r="E842" s="32"/>
      <c r="F842"/>
    </row>
    <row r="843" spans="1:6" s="33" customFormat="1" ht="15.75">
      <c r="A843" s="158"/>
      <c r="B843" s="148"/>
      <c r="C843" s="111"/>
      <c r="D843" s="111"/>
      <c r="E843" s="32"/>
      <c r="F843"/>
    </row>
    <row r="844" spans="1:6" s="33" customFormat="1" ht="15.75">
      <c r="A844" s="158"/>
      <c r="B844" s="148"/>
      <c r="C844" s="111"/>
      <c r="D844" s="111"/>
      <c r="E844" s="32"/>
      <c r="F844"/>
    </row>
    <row r="845" spans="1:6" s="33" customFormat="1" ht="15.75">
      <c r="A845" s="158"/>
      <c r="B845" s="148"/>
      <c r="C845" s="111"/>
      <c r="D845" s="111"/>
      <c r="E845" s="32"/>
      <c r="F845"/>
    </row>
    <row r="846" spans="1:6" s="33" customFormat="1" ht="15.75">
      <c r="A846" s="158"/>
      <c r="B846" s="148"/>
      <c r="C846" s="111"/>
      <c r="D846" s="111"/>
      <c r="E846" s="32"/>
      <c r="F846"/>
    </row>
    <row r="847" spans="1:6" s="33" customFormat="1" ht="15.75">
      <c r="A847" s="158"/>
      <c r="B847" s="148"/>
      <c r="C847" s="111"/>
      <c r="D847" s="111"/>
      <c r="E847" s="32"/>
      <c r="F847"/>
    </row>
    <row r="848" spans="1:6" s="33" customFormat="1" ht="15.75">
      <c r="A848" s="158"/>
      <c r="B848" s="148"/>
      <c r="C848" s="111"/>
      <c r="D848" s="111"/>
      <c r="E848" s="32"/>
      <c r="F848"/>
    </row>
    <row r="849" spans="1:6" s="33" customFormat="1" ht="15.75">
      <c r="A849" s="158"/>
      <c r="B849" s="148"/>
      <c r="C849" s="111"/>
      <c r="D849" s="111"/>
      <c r="E849" s="32"/>
      <c r="F849"/>
    </row>
    <row r="850" spans="1:6" s="33" customFormat="1" ht="15.75">
      <c r="A850" s="158"/>
      <c r="B850" s="148"/>
      <c r="C850" s="111"/>
      <c r="D850" s="111"/>
      <c r="E850" s="32"/>
      <c r="F850"/>
    </row>
    <row r="851" spans="1:6" s="33" customFormat="1" ht="15.75">
      <c r="A851" s="158"/>
      <c r="B851" s="148"/>
      <c r="C851" s="111"/>
      <c r="D851" s="111"/>
      <c r="E851" s="32"/>
      <c r="F851"/>
    </row>
    <row r="852" spans="1:6" s="33" customFormat="1" ht="15.75">
      <c r="A852" s="158"/>
      <c r="B852" s="148"/>
      <c r="C852" s="111"/>
      <c r="D852" s="111"/>
      <c r="E852" s="32"/>
      <c r="F852"/>
    </row>
    <row r="853" spans="1:6" s="33" customFormat="1" ht="15.75">
      <c r="A853" s="158"/>
      <c r="B853" s="148"/>
      <c r="C853" s="111"/>
      <c r="D853" s="111"/>
      <c r="E853" s="32"/>
      <c r="F853"/>
    </row>
    <row r="854" spans="1:6" s="33" customFormat="1" ht="15.75">
      <c r="A854" s="158"/>
      <c r="B854" s="148"/>
      <c r="C854" s="111"/>
      <c r="D854" s="111"/>
      <c r="E854" s="32"/>
      <c r="F854"/>
    </row>
    <row r="855" spans="1:6" s="33" customFormat="1" ht="15.75">
      <c r="A855" s="158"/>
      <c r="B855" s="148"/>
      <c r="C855" s="111"/>
      <c r="D855" s="111"/>
      <c r="E855" s="32"/>
      <c r="F855"/>
    </row>
    <row r="856" spans="1:6" s="33" customFormat="1" ht="15.75">
      <c r="A856" s="158"/>
      <c r="B856" s="148"/>
      <c r="C856" s="111"/>
      <c r="D856" s="111"/>
      <c r="E856" s="32"/>
      <c r="F856"/>
    </row>
    <row r="857" spans="1:6" s="33" customFormat="1" ht="15.75">
      <c r="A857" s="158"/>
      <c r="B857" s="148"/>
      <c r="C857" s="111"/>
      <c r="D857" s="111"/>
      <c r="E857" s="32"/>
      <c r="F857"/>
    </row>
    <row r="858" spans="1:6" s="33" customFormat="1" ht="15.75">
      <c r="A858" s="158"/>
      <c r="B858" s="148"/>
      <c r="C858" s="111"/>
      <c r="D858" s="111"/>
      <c r="E858" s="32"/>
      <c r="F858"/>
    </row>
    <row r="859" spans="1:6" s="33" customFormat="1" ht="15.75">
      <c r="A859" s="158"/>
      <c r="B859" s="148"/>
      <c r="C859" s="111"/>
      <c r="D859" s="111"/>
      <c r="E859" s="32"/>
      <c r="F859"/>
    </row>
    <row r="860" spans="1:6" s="33" customFormat="1" ht="15.75">
      <c r="A860" s="158"/>
      <c r="B860" s="148"/>
      <c r="C860" s="111"/>
      <c r="D860" s="111"/>
      <c r="E860" s="32"/>
      <c r="F860"/>
    </row>
    <row r="861" spans="1:6" s="33" customFormat="1" ht="15.75">
      <c r="A861" s="158"/>
      <c r="B861" s="148"/>
      <c r="C861" s="111"/>
      <c r="D861" s="111"/>
      <c r="E861" s="32"/>
      <c r="F861"/>
    </row>
    <row r="862" spans="1:6" s="33" customFormat="1" ht="15.75">
      <c r="A862" s="158"/>
      <c r="B862" s="148"/>
      <c r="C862" s="111"/>
      <c r="D862" s="111"/>
      <c r="E862" s="32"/>
      <c r="F862"/>
    </row>
    <row r="863" spans="1:6" s="33" customFormat="1" ht="15.75">
      <c r="A863" s="158"/>
      <c r="B863" s="148"/>
      <c r="C863" s="111"/>
      <c r="D863" s="111"/>
      <c r="E863" s="32"/>
      <c r="F863"/>
    </row>
    <row r="864" spans="1:6" s="33" customFormat="1" ht="15.75">
      <c r="A864" s="158"/>
      <c r="B864" s="148"/>
      <c r="C864" s="111"/>
      <c r="D864" s="111"/>
      <c r="E864" s="32"/>
      <c r="F864"/>
    </row>
    <row r="865" spans="1:6" s="33" customFormat="1" ht="15.75">
      <c r="A865" s="158"/>
      <c r="B865" s="148"/>
      <c r="C865" s="111"/>
      <c r="D865" s="111"/>
      <c r="E865" s="32"/>
      <c r="F865"/>
    </row>
    <row r="866" spans="1:6" s="33" customFormat="1" ht="15.75">
      <c r="A866" s="158"/>
      <c r="B866" s="148"/>
      <c r="C866" s="111"/>
      <c r="D866" s="111"/>
      <c r="E866" s="32"/>
      <c r="F866"/>
    </row>
    <row r="867" spans="1:6" s="33" customFormat="1" ht="15.75">
      <c r="A867" s="158"/>
      <c r="B867" s="148"/>
      <c r="C867" s="111"/>
      <c r="D867" s="111"/>
      <c r="E867" s="32"/>
      <c r="F867"/>
    </row>
    <row r="868" spans="1:6" s="33" customFormat="1" ht="15.75">
      <c r="A868" s="158"/>
      <c r="B868" s="148"/>
      <c r="C868" s="111"/>
      <c r="D868" s="111"/>
      <c r="E868" s="32"/>
      <c r="F868"/>
    </row>
    <row r="869" spans="1:6" s="33" customFormat="1" ht="15.75">
      <c r="A869" s="158"/>
      <c r="B869" s="148"/>
      <c r="C869" s="111"/>
      <c r="D869" s="111"/>
      <c r="E869" s="32"/>
      <c r="F869"/>
    </row>
    <row r="870" spans="1:6" s="33" customFormat="1" ht="15.75">
      <c r="A870" s="158"/>
      <c r="B870" s="148"/>
      <c r="C870" s="111"/>
      <c r="D870" s="111"/>
      <c r="E870" s="32"/>
      <c r="F870"/>
    </row>
    <row r="871" spans="1:6" s="33" customFormat="1" ht="15.75">
      <c r="A871" s="158"/>
      <c r="B871" s="148"/>
      <c r="C871" s="111"/>
      <c r="D871" s="111"/>
      <c r="E871" s="32"/>
      <c r="F871"/>
    </row>
    <row r="872" spans="1:6" s="33" customFormat="1" ht="15.75">
      <c r="A872" s="158"/>
      <c r="B872" s="148"/>
      <c r="C872" s="111"/>
      <c r="D872" s="111"/>
      <c r="E872" s="32"/>
      <c r="F872"/>
    </row>
    <row r="873" spans="1:6" s="33" customFormat="1" ht="15.75">
      <c r="A873" s="158"/>
      <c r="B873" s="148"/>
      <c r="C873" s="111"/>
      <c r="D873" s="111"/>
      <c r="E873" s="32"/>
      <c r="F873"/>
    </row>
    <row r="874" spans="1:6" s="33" customFormat="1" ht="15.75">
      <c r="A874" s="158"/>
      <c r="B874" s="148"/>
      <c r="C874" s="111"/>
      <c r="D874" s="111"/>
      <c r="E874" s="32"/>
      <c r="F874"/>
    </row>
    <row r="875" spans="1:6" s="33" customFormat="1" ht="15.75">
      <c r="A875" s="158"/>
      <c r="B875" s="148"/>
      <c r="C875" s="111"/>
      <c r="D875" s="111"/>
      <c r="E875" s="32"/>
      <c r="F875"/>
    </row>
    <row r="876" spans="1:6" s="33" customFormat="1" ht="15.75">
      <c r="A876" s="158"/>
      <c r="B876" s="148"/>
      <c r="C876" s="111"/>
      <c r="D876" s="111"/>
      <c r="E876" s="32"/>
      <c r="F876"/>
    </row>
    <row r="877" spans="1:6" s="33" customFormat="1" ht="15.75">
      <c r="A877" s="158"/>
      <c r="B877" s="148"/>
      <c r="C877" s="111"/>
      <c r="D877" s="111"/>
      <c r="E877" s="32"/>
      <c r="F877"/>
    </row>
    <row r="878" spans="1:6" s="33" customFormat="1" ht="15.75">
      <c r="A878" s="158"/>
      <c r="B878" s="148"/>
      <c r="C878" s="111"/>
      <c r="D878" s="111"/>
      <c r="E878" s="32"/>
      <c r="F878"/>
    </row>
    <row r="879" spans="1:6" s="33" customFormat="1" ht="15.75">
      <c r="A879" s="158"/>
      <c r="B879" s="148"/>
      <c r="C879" s="111"/>
      <c r="D879" s="111"/>
      <c r="E879" s="32"/>
      <c r="F879"/>
    </row>
    <row r="880" spans="1:6" s="33" customFormat="1" ht="15.75">
      <c r="A880" s="158"/>
      <c r="B880" s="148"/>
      <c r="C880" s="111"/>
      <c r="D880" s="111"/>
      <c r="E880" s="32"/>
      <c r="F880"/>
    </row>
    <row r="881" spans="1:6" s="33" customFormat="1" ht="15.75">
      <c r="A881" s="158"/>
      <c r="B881" s="148"/>
      <c r="C881" s="111"/>
      <c r="D881" s="111"/>
      <c r="E881" s="32"/>
      <c r="F881"/>
    </row>
    <row r="882" spans="1:6" s="33" customFormat="1" ht="15.75">
      <c r="A882" s="158"/>
      <c r="B882" s="148"/>
      <c r="C882" s="111"/>
      <c r="D882" s="111"/>
      <c r="E882" s="32"/>
      <c r="F882"/>
    </row>
    <row r="883" spans="1:6" s="33" customFormat="1" ht="15.75">
      <c r="A883" s="158"/>
      <c r="B883" s="148"/>
      <c r="C883" s="111"/>
      <c r="D883" s="111"/>
      <c r="E883" s="32"/>
      <c r="F883"/>
    </row>
    <row r="884" spans="1:6" s="33" customFormat="1" ht="15.75">
      <c r="A884" s="158"/>
      <c r="B884" s="148"/>
      <c r="C884" s="111"/>
      <c r="D884" s="111"/>
      <c r="E884" s="32"/>
      <c r="F884"/>
    </row>
    <row r="885" spans="1:6" s="33" customFormat="1" ht="15.75">
      <c r="A885" s="158"/>
      <c r="B885" s="148"/>
      <c r="C885" s="111"/>
      <c r="D885" s="111"/>
      <c r="E885" s="32"/>
      <c r="F885"/>
    </row>
    <row r="886" spans="1:6" s="33" customFormat="1" ht="15.75">
      <c r="A886" s="158"/>
      <c r="B886" s="148"/>
      <c r="C886" s="111"/>
      <c r="D886" s="111"/>
      <c r="E886" s="32"/>
      <c r="F886"/>
    </row>
    <row r="887" spans="1:6" s="33" customFormat="1" ht="15.75">
      <c r="A887" s="158"/>
      <c r="B887" s="148"/>
      <c r="C887" s="111"/>
      <c r="D887" s="111"/>
      <c r="E887" s="32"/>
      <c r="F887"/>
    </row>
    <row r="888" spans="1:6" s="33" customFormat="1" ht="15.75">
      <c r="A888" s="158"/>
      <c r="B888" s="148"/>
      <c r="C888" s="111"/>
      <c r="D888" s="111"/>
      <c r="E888" s="32"/>
      <c r="F888"/>
    </row>
    <row r="889" spans="1:6" s="33" customFormat="1" ht="15.75">
      <c r="A889" s="158"/>
      <c r="B889" s="148"/>
      <c r="C889" s="111"/>
      <c r="D889" s="111"/>
      <c r="E889" s="32"/>
      <c r="F889"/>
    </row>
    <row r="890" spans="1:6" s="33" customFormat="1" ht="15.75">
      <c r="A890" s="158"/>
      <c r="B890" s="148"/>
      <c r="C890" s="111"/>
      <c r="D890" s="111"/>
      <c r="E890" s="32"/>
      <c r="F890"/>
    </row>
    <row r="891" spans="1:6" s="33" customFormat="1" ht="15.75">
      <c r="A891" s="158"/>
      <c r="B891" s="148"/>
      <c r="C891" s="111"/>
      <c r="D891" s="111"/>
      <c r="E891" s="32"/>
      <c r="F891"/>
    </row>
    <row r="892" spans="1:6" s="33" customFormat="1" ht="15.75">
      <c r="A892" s="158"/>
      <c r="B892" s="148"/>
      <c r="C892" s="111"/>
      <c r="D892" s="111"/>
      <c r="E892" s="32"/>
      <c r="F892"/>
    </row>
    <row r="893" spans="1:6" s="33" customFormat="1" ht="15.75">
      <c r="A893" s="158"/>
      <c r="B893" s="148"/>
      <c r="C893" s="111"/>
      <c r="D893" s="111"/>
      <c r="E893" s="32"/>
      <c r="F893"/>
    </row>
    <row r="894" spans="1:6" s="33" customFormat="1" ht="15.75">
      <c r="A894" s="158"/>
      <c r="B894" s="148"/>
      <c r="C894" s="111"/>
      <c r="D894" s="111"/>
      <c r="E894" s="32"/>
      <c r="F894"/>
    </row>
    <row r="895" spans="1:6" s="33" customFormat="1" ht="15.75">
      <c r="A895" s="158"/>
      <c r="B895" s="148"/>
      <c r="C895" s="111"/>
      <c r="D895" s="111"/>
      <c r="E895" s="32"/>
      <c r="F895"/>
    </row>
    <row r="896" spans="1:6" s="33" customFormat="1" ht="15.75">
      <c r="A896" s="158"/>
      <c r="B896" s="148"/>
      <c r="C896" s="111"/>
      <c r="D896" s="111"/>
      <c r="E896" s="32"/>
      <c r="F896"/>
    </row>
    <row r="897" spans="1:6" s="33" customFormat="1" ht="15.75">
      <c r="A897" s="158"/>
      <c r="B897" s="148"/>
      <c r="C897" s="111"/>
      <c r="D897" s="111"/>
      <c r="E897" s="32"/>
      <c r="F897"/>
    </row>
    <row r="898" spans="1:6" s="33" customFormat="1" ht="15.75">
      <c r="A898" s="158"/>
      <c r="B898" s="148"/>
      <c r="C898" s="111"/>
      <c r="D898" s="111"/>
      <c r="E898" s="32"/>
      <c r="F898"/>
    </row>
    <row r="899" spans="1:6" s="33" customFormat="1" ht="15.75">
      <c r="A899" s="158"/>
      <c r="B899" s="148"/>
      <c r="C899" s="111"/>
      <c r="D899" s="111"/>
      <c r="E899" s="32"/>
      <c r="F899"/>
    </row>
    <row r="900" spans="1:6" s="33" customFormat="1" ht="15.75">
      <c r="A900" s="158"/>
      <c r="B900" s="148"/>
      <c r="C900" s="111"/>
      <c r="D900" s="111"/>
      <c r="E900" s="32"/>
      <c r="F900"/>
    </row>
    <row r="901" spans="1:6" s="33" customFormat="1" ht="15.75">
      <c r="A901" s="158"/>
      <c r="B901" s="148"/>
      <c r="C901" s="111"/>
      <c r="D901" s="111"/>
      <c r="E901" s="32"/>
      <c r="F901"/>
    </row>
    <row r="902" spans="1:6" s="33" customFormat="1" ht="15.75">
      <c r="A902" s="158"/>
      <c r="B902" s="148"/>
      <c r="C902" s="111"/>
      <c r="D902" s="111"/>
      <c r="E902" s="32"/>
      <c r="F902"/>
    </row>
    <row r="903" spans="1:6" s="33" customFormat="1" ht="15.75">
      <c r="A903" s="158"/>
      <c r="B903" s="148"/>
      <c r="C903" s="111"/>
      <c r="D903" s="111"/>
      <c r="E903" s="32"/>
      <c r="F903"/>
    </row>
    <row r="904" spans="1:6" s="33" customFormat="1" ht="15.75">
      <c r="A904" s="158"/>
      <c r="B904" s="148"/>
      <c r="C904" s="111"/>
      <c r="D904" s="111"/>
      <c r="E904" s="32"/>
      <c r="F904"/>
    </row>
    <row r="905" spans="1:6" s="33" customFormat="1" ht="15.75">
      <c r="A905" s="158"/>
      <c r="B905" s="148"/>
      <c r="C905" s="111"/>
      <c r="D905" s="111"/>
      <c r="E905" s="32"/>
      <c r="F905"/>
    </row>
    <row r="906" spans="1:6" s="33" customFormat="1" ht="15.75">
      <c r="A906" s="158"/>
      <c r="B906" s="148"/>
      <c r="C906" s="111"/>
      <c r="D906" s="111"/>
      <c r="E906" s="32"/>
      <c r="F906"/>
    </row>
    <row r="907" spans="1:6" s="33" customFormat="1" ht="15.75">
      <c r="A907" s="158"/>
      <c r="B907" s="148"/>
      <c r="C907" s="111"/>
      <c r="D907" s="111"/>
      <c r="E907" s="32"/>
      <c r="F907"/>
    </row>
    <row r="908" spans="1:6" s="33" customFormat="1" ht="15.75">
      <c r="A908" s="158"/>
      <c r="B908" s="148"/>
      <c r="C908" s="111"/>
      <c r="D908" s="111"/>
      <c r="E908" s="32"/>
      <c r="F908"/>
    </row>
    <row r="909" spans="1:6" s="33" customFormat="1" ht="15.75">
      <c r="A909" s="158"/>
      <c r="B909" s="148"/>
      <c r="C909" s="111"/>
      <c r="D909" s="111"/>
      <c r="E909" s="32"/>
      <c r="F909"/>
    </row>
    <row r="910" spans="1:6" s="33" customFormat="1" ht="15.75">
      <c r="A910" s="158"/>
      <c r="B910" s="148"/>
      <c r="C910" s="111"/>
      <c r="D910" s="111"/>
      <c r="E910" s="32"/>
      <c r="F910"/>
    </row>
    <row r="911" spans="1:6" s="33" customFormat="1" ht="15.75">
      <c r="A911" s="158"/>
      <c r="B911" s="148"/>
      <c r="C911" s="111"/>
      <c r="D911" s="111"/>
      <c r="E911" s="32"/>
      <c r="F911"/>
    </row>
    <row r="912" spans="1:6" s="33" customFormat="1" ht="15.75">
      <c r="A912" s="158"/>
      <c r="B912" s="148"/>
      <c r="C912" s="111"/>
      <c r="D912" s="111"/>
      <c r="E912" s="32"/>
      <c r="F912"/>
    </row>
    <row r="913" spans="1:6" s="33" customFormat="1" ht="15.75">
      <c r="A913" s="158"/>
      <c r="B913" s="148"/>
      <c r="C913" s="111"/>
      <c r="D913" s="111"/>
      <c r="E913" s="32"/>
      <c r="F913"/>
    </row>
    <row r="914" spans="1:6" s="33" customFormat="1" ht="15.75">
      <c r="A914" s="158"/>
      <c r="B914" s="148"/>
      <c r="C914" s="111"/>
      <c r="D914" s="111"/>
      <c r="E914" s="32"/>
      <c r="F914"/>
    </row>
    <row r="915" spans="1:6" s="33" customFormat="1" ht="15.75">
      <c r="A915" s="158"/>
      <c r="B915" s="148"/>
      <c r="C915" s="111"/>
      <c r="D915" s="111"/>
      <c r="E915" s="32"/>
      <c r="F915"/>
    </row>
    <row r="916" spans="1:6" s="33" customFormat="1" ht="15.75">
      <c r="A916" s="158"/>
      <c r="B916" s="148"/>
      <c r="C916" s="111"/>
      <c r="D916" s="111"/>
      <c r="E916" s="32"/>
      <c r="F916"/>
    </row>
    <row r="917" spans="1:6" s="33" customFormat="1" ht="15.75">
      <c r="A917" s="158"/>
      <c r="B917" s="148"/>
      <c r="C917" s="111"/>
      <c r="D917" s="111"/>
      <c r="E917" s="32"/>
      <c r="F917"/>
    </row>
    <row r="918" spans="1:6" s="33" customFormat="1" ht="15.75">
      <c r="A918" s="158"/>
      <c r="B918" s="148"/>
      <c r="C918" s="111"/>
      <c r="D918" s="111"/>
      <c r="E918" s="32"/>
      <c r="F918"/>
    </row>
    <row r="919" spans="1:6" s="33" customFormat="1" ht="15.75">
      <c r="A919" s="158"/>
      <c r="B919" s="148"/>
      <c r="C919" s="111"/>
      <c r="D919" s="111"/>
      <c r="E919" s="32"/>
      <c r="F919"/>
    </row>
    <row r="920" spans="1:6" s="33" customFormat="1" ht="15.75">
      <c r="A920" s="158"/>
      <c r="B920" s="148"/>
      <c r="C920" s="111"/>
      <c r="D920" s="111"/>
      <c r="E920" s="32"/>
      <c r="F920"/>
    </row>
    <row r="921" spans="1:6" s="33" customFormat="1" ht="15.75">
      <c r="A921" s="158"/>
      <c r="B921" s="148"/>
      <c r="C921" s="111"/>
      <c r="D921" s="111"/>
      <c r="E921" s="32"/>
      <c r="F921"/>
    </row>
    <row r="922" spans="1:6" s="33" customFormat="1" ht="15.75">
      <c r="A922" s="158"/>
      <c r="B922" s="148"/>
      <c r="C922" s="111"/>
      <c r="D922" s="111"/>
      <c r="E922" s="32"/>
      <c r="F922"/>
    </row>
    <row r="923" spans="1:6" s="33" customFormat="1" ht="15.75">
      <c r="A923" s="158"/>
      <c r="B923" s="148"/>
      <c r="C923" s="111"/>
      <c r="D923" s="111"/>
      <c r="E923" s="32"/>
      <c r="F923"/>
    </row>
    <row r="924" spans="1:6" s="33" customFormat="1" ht="15.75">
      <c r="A924" s="158"/>
      <c r="B924" s="148"/>
      <c r="C924" s="111"/>
      <c r="D924" s="111"/>
      <c r="E924" s="32"/>
      <c r="F924"/>
    </row>
    <row r="925" spans="1:6" s="33" customFormat="1" ht="15.75">
      <c r="A925" s="158"/>
      <c r="B925" s="148"/>
      <c r="C925" s="111"/>
      <c r="D925" s="111"/>
      <c r="E925" s="32"/>
      <c r="F925"/>
    </row>
    <row r="926" spans="1:6" s="33" customFormat="1" ht="15.75">
      <c r="A926" s="158"/>
      <c r="B926" s="148"/>
      <c r="C926" s="111"/>
      <c r="D926" s="111"/>
      <c r="E926" s="32"/>
      <c r="F926"/>
    </row>
    <row r="927" spans="1:6" s="33" customFormat="1" ht="15.75">
      <c r="A927" s="158"/>
      <c r="B927" s="148"/>
      <c r="C927" s="111"/>
      <c r="D927" s="111"/>
      <c r="E927" s="32"/>
      <c r="F927"/>
    </row>
    <row r="928" spans="1:6" s="33" customFormat="1" ht="15.75">
      <c r="A928" s="158"/>
      <c r="B928" s="148"/>
      <c r="C928" s="111"/>
      <c r="D928" s="111"/>
      <c r="E928" s="32"/>
      <c r="F928"/>
    </row>
    <row r="929" spans="1:6" s="33" customFormat="1" ht="15.75">
      <c r="A929" s="158"/>
      <c r="B929" s="148"/>
      <c r="C929" s="111"/>
      <c r="D929" s="111"/>
      <c r="E929" s="32"/>
      <c r="F929"/>
    </row>
    <row r="930" spans="1:6" s="33" customFormat="1" ht="15.75">
      <c r="A930" s="158"/>
      <c r="B930" s="148"/>
      <c r="C930" s="111"/>
      <c r="D930" s="111"/>
      <c r="E930" s="32"/>
      <c r="F930"/>
    </row>
    <row r="931" spans="1:6" s="33" customFormat="1" ht="15.75">
      <c r="A931" s="158"/>
      <c r="B931" s="148"/>
      <c r="C931" s="111"/>
      <c r="D931" s="111"/>
      <c r="E931" s="32"/>
      <c r="F931"/>
    </row>
    <row r="932" spans="1:6" s="33" customFormat="1" ht="15.75">
      <c r="A932" s="158"/>
      <c r="B932" s="148"/>
      <c r="C932" s="111"/>
      <c r="D932" s="111"/>
      <c r="E932" s="32"/>
      <c r="F932"/>
    </row>
    <row r="933" spans="1:6" s="33" customFormat="1" ht="15.75">
      <c r="A933" s="158"/>
      <c r="B933" s="148"/>
      <c r="C933" s="111"/>
      <c r="D933" s="111"/>
      <c r="E933" s="32"/>
      <c r="F933"/>
    </row>
    <row r="934" spans="1:6" s="33" customFormat="1" ht="15.75">
      <c r="A934" s="158"/>
      <c r="B934" s="148"/>
      <c r="C934" s="111"/>
      <c r="D934" s="111"/>
      <c r="E934" s="32"/>
      <c r="F934"/>
    </row>
    <row r="935" spans="1:6" s="33" customFormat="1" ht="15.75">
      <c r="A935" s="158"/>
      <c r="B935" s="148"/>
      <c r="C935" s="111"/>
      <c r="D935" s="111"/>
      <c r="E935" s="32"/>
      <c r="F935"/>
    </row>
    <row r="936" spans="1:6" s="33" customFormat="1" ht="15.75">
      <c r="A936" s="158"/>
      <c r="B936" s="148"/>
      <c r="C936" s="111"/>
      <c r="D936" s="111"/>
      <c r="E936" s="32"/>
      <c r="F936"/>
    </row>
    <row r="937" spans="1:6" s="33" customFormat="1" ht="15.75">
      <c r="A937" s="158"/>
      <c r="B937" s="148"/>
      <c r="C937" s="111"/>
      <c r="D937" s="111"/>
      <c r="E937" s="32"/>
      <c r="F937"/>
    </row>
    <row r="938" spans="1:6" s="33" customFormat="1" ht="15.75">
      <c r="A938" s="158"/>
      <c r="B938" s="148"/>
      <c r="C938" s="111"/>
      <c r="D938" s="111"/>
      <c r="E938" s="32"/>
      <c r="F938"/>
    </row>
    <row r="939" spans="1:6" s="33" customFormat="1" ht="15.75">
      <c r="A939" s="158"/>
      <c r="B939" s="148"/>
      <c r="C939" s="111"/>
      <c r="D939" s="111"/>
      <c r="E939" s="32"/>
      <c r="F939"/>
    </row>
    <row r="940" spans="1:6" s="33" customFormat="1" ht="15.75">
      <c r="A940" s="158"/>
      <c r="B940" s="148"/>
      <c r="C940" s="111"/>
      <c r="D940" s="111"/>
      <c r="E940" s="32"/>
      <c r="F940"/>
    </row>
    <row r="941" spans="1:6" s="33" customFormat="1" ht="15.75">
      <c r="A941" s="158"/>
      <c r="B941" s="148"/>
      <c r="C941" s="111"/>
      <c r="D941" s="111"/>
      <c r="E941" s="32"/>
      <c r="F941"/>
    </row>
    <row r="942" spans="1:6" s="33" customFormat="1" ht="15.75">
      <c r="A942" s="158"/>
      <c r="B942" s="148"/>
      <c r="C942" s="111"/>
      <c r="D942" s="111"/>
      <c r="E942" s="32"/>
      <c r="F942"/>
    </row>
    <row r="943" spans="1:6" s="33" customFormat="1" ht="15.75">
      <c r="A943" s="158"/>
      <c r="B943" s="148"/>
      <c r="C943" s="111"/>
      <c r="D943" s="111"/>
      <c r="E943" s="32"/>
      <c r="F943"/>
    </row>
    <row r="944" spans="1:6" s="33" customFormat="1" ht="15.75">
      <c r="A944" s="158"/>
      <c r="B944" s="148"/>
      <c r="C944" s="111"/>
      <c r="D944" s="111"/>
      <c r="E944" s="32"/>
      <c r="F944"/>
    </row>
    <row r="945" spans="1:6" s="33" customFormat="1" ht="15.75">
      <c r="A945" s="158"/>
      <c r="B945" s="148"/>
      <c r="C945" s="111"/>
      <c r="D945" s="111"/>
      <c r="E945" s="32"/>
      <c r="F945"/>
    </row>
    <row r="946" spans="1:6" s="33" customFormat="1" ht="15.75">
      <c r="A946" s="158"/>
      <c r="B946" s="148"/>
      <c r="C946" s="111"/>
      <c r="D946" s="111"/>
      <c r="E946" s="32"/>
      <c r="F946"/>
    </row>
    <row r="947" spans="1:6" s="33" customFormat="1" ht="15.75">
      <c r="A947" s="158"/>
      <c r="B947" s="148"/>
      <c r="C947" s="111"/>
      <c r="D947" s="111"/>
      <c r="E947" s="32"/>
      <c r="F947"/>
    </row>
    <row r="948" spans="1:6" s="33" customFormat="1" ht="15.75">
      <c r="A948" s="158"/>
      <c r="B948" s="148"/>
      <c r="C948" s="111"/>
      <c r="D948" s="111"/>
      <c r="E948" s="32"/>
      <c r="F948"/>
    </row>
    <row r="949" spans="1:6" s="33" customFormat="1" ht="15.75">
      <c r="A949" s="158"/>
      <c r="B949" s="148"/>
      <c r="C949" s="111"/>
      <c r="D949" s="111"/>
      <c r="E949" s="32"/>
      <c r="F949"/>
    </row>
    <row r="950" spans="1:6" s="33" customFormat="1" ht="15.75">
      <c r="A950" s="158"/>
      <c r="B950" s="148"/>
      <c r="C950" s="111"/>
      <c r="D950" s="111"/>
      <c r="E950" s="32"/>
      <c r="F950"/>
    </row>
    <row r="951" spans="1:6" s="33" customFormat="1" ht="15.75">
      <c r="A951" s="158"/>
      <c r="B951" s="148"/>
      <c r="C951" s="111"/>
      <c r="D951" s="111"/>
      <c r="E951" s="32"/>
      <c r="F951"/>
    </row>
    <row r="952" spans="1:6" s="33" customFormat="1" ht="15.75">
      <c r="A952" s="158"/>
      <c r="B952" s="148"/>
      <c r="C952" s="111"/>
      <c r="D952" s="111"/>
      <c r="E952" s="32"/>
      <c r="F952"/>
    </row>
    <row r="953" spans="1:6" s="33" customFormat="1" ht="15.75">
      <c r="A953" s="158"/>
      <c r="B953" s="148"/>
      <c r="C953" s="111"/>
      <c r="D953" s="111"/>
      <c r="E953" s="32"/>
      <c r="F953"/>
    </row>
    <row r="954" spans="1:6" s="33" customFormat="1" ht="15.75">
      <c r="A954" s="158"/>
      <c r="B954" s="148"/>
      <c r="C954" s="111"/>
      <c r="D954" s="111"/>
      <c r="E954" s="32"/>
      <c r="F954"/>
    </row>
    <row r="955" spans="1:6" s="33" customFormat="1" ht="15.75">
      <c r="A955" s="158"/>
      <c r="B955" s="148"/>
      <c r="C955" s="111"/>
      <c r="D955" s="111"/>
      <c r="E955" s="32"/>
      <c r="F955"/>
    </row>
    <row r="956" spans="1:6" s="33" customFormat="1" ht="15.75">
      <c r="A956" s="158"/>
      <c r="B956" s="148"/>
      <c r="C956" s="111"/>
      <c r="D956" s="111"/>
      <c r="E956" s="32"/>
      <c r="F956"/>
    </row>
    <row r="957" spans="1:6" s="33" customFormat="1" ht="15.75">
      <c r="A957" s="158"/>
      <c r="B957" s="148"/>
      <c r="C957" s="111"/>
      <c r="D957" s="111"/>
      <c r="E957" s="32"/>
      <c r="F957"/>
    </row>
    <row r="958" spans="1:6" s="33" customFormat="1" ht="15.75">
      <c r="A958" s="158"/>
      <c r="B958" s="148"/>
      <c r="C958" s="111"/>
      <c r="D958" s="111"/>
      <c r="E958" s="32"/>
      <c r="F958"/>
    </row>
    <row r="959" spans="1:6" s="33" customFormat="1" ht="15.75">
      <c r="A959" s="158"/>
      <c r="B959" s="148"/>
      <c r="C959" s="111"/>
      <c r="D959" s="111"/>
      <c r="E959" s="32"/>
      <c r="F959"/>
    </row>
    <row r="960" spans="1:6" s="33" customFormat="1" ht="15.75">
      <c r="A960" s="158"/>
      <c r="B960" s="148"/>
      <c r="C960" s="111"/>
      <c r="D960" s="111"/>
      <c r="E960" s="32"/>
      <c r="F960"/>
    </row>
    <row r="961" spans="1:6" s="33" customFormat="1" ht="15.75">
      <c r="A961" s="158"/>
      <c r="B961" s="148"/>
      <c r="C961" s="111"/>
      <c r="D961" s="111"/>
      <c r="E961" s="32"/>
      <c r="F961"/>
    </row>
    <row r="962" spans="1:6" s="33" customFormat="1" ht="15.75">
      <c r="A962" s="158"/>
      <c r="B962" s="148"/>
      <c r="C962" s="111"/>
      <c r="D962" s="111"/>
      <c r="E962" s="32"/>
      <c r="F962"/>
    </row>
    <row r="963" spans="1:6" s="33" customFormat="1" ht="15.75">
      <c r="A963" s="158"/>
      <c r="B963" s="148"/>
      <c r="C963" s="111"/>
      <c r="D963" s="111"/>
      <c r="E963" s="32"/>
      <c r="F963"/>
    </row>
    <row r="964" spans="1:6" s="33" customFormat="1" ht="15.75">
      <c r="A964" s="158"/>
      <c r="B964" s="148"/>
      <c r="C964" s="111"/>
      <c r="D964" s="111"/>
      <c r="E964" s="32"/>
      <c r="F964"/>
    </row>
    <row r="965" spans="1:6" s="33" customFormat="1" ht="15.75">
      <c r="A965" s="158"/>
      <c r="B965" s="148"/>
      <c r="C965" s="111"/>
      <c r="D965" s="111"/>
      <c r="E965" s="32"/>
      <c r="F965"/>
    </row>
    <row r="966" spans="1:6" s="33" customFormat="1" ht="15.75">
      <c r="A966" s="158"/>
      <c r="B966" s="148"/>
      <c r="C966" s="111"/>
      <c r="D966" s="111"/>
      <c r="E966" s="32"/>
      <c r="F966"/>
    </row>
    <row r="967" spans="1:6" s="33" customFormat="1" ht="15.75">
      <c r="A967" s="158"/>
      <c r="B967" s="148"/>
      <c r="C967" s="111"/>
      <c r="D967" s="111"/>
      <c r="E967" s="32"/>
      <c r="F967"/>
    </row>
    <row r="968" spans="1:6" s="33" customFormat="1" ht="15.75">
      <c r="A968" s="158"/>
      <c r="B968" s="148"/>
      <c r="C968" s="111"/>
      <c r="D968" s="111"/>
      <c r="E968" s="32"/>
      <c r="F968"/>
    </row>
    <row r="969" spans="1:6" s="33" customFormat="1" ht="15.75">
      <c r="A969" s="158"/>
      <c r="B969" s="148"/>
      <c r="C969" s="111"/>
      <c r="D969" s="111"/>
      <c r="E969" s="32"/>
      <c r="F969"/>
    </row>
    <row r="970" spans="1:6" s="33" customFormat="1" ht="15.75">
      <c r="A970" s="158"/>
      <c r="B970" s="148"/>
      <c r="C970" s="111"/>
      <c r="D970" s="111"/>
      <c r="E970" s="32"/>
      <c r="F970"/>
    </row>
    <row r="971" spans="1:6" s="33" customFormat="1" ht="15.75">
      <c r="A971" s="158"/>
      <c r="B971" s="148"/>
      <c r="C971" s="111"/>
      <c r="D971" s="111"/>
      <c r="E971" s="32"/>
      <c r="F971"/>
    </row>
    <row r="972" spans="1:6" s="33" customFormat="1" ht="15.75">
      <c r="A972" s="158"/>
      <c r="B972" s="148"/>
      <c r="C972" s="111"/>
      <c r="D972" s="111"/>
      <c r="E972" s="32"/>
      <c r="F972"/>
    </row>
    <row r="973" spans="1:6" s="33" customFormat="1" ht="15.75">
      <c r="A973" s="158"/>
      <c r="B973" s="148"/>
      <c r="C973" s="111"/>
      <c r="D973" s="111"/>
      <c r="E973" s="32"/>
      <c r="F973"/>
    </row>
    <row r="974" spans="1:6" s="33" customFormat="1" ht="15.75">
      <c r="A974" s="158"/>
      <c r="B974" s="148"/>
      <c r="C974" s="111"/>
      <c r="D974" s="111"/>
      <c r="E974" s="32"/>
      <c r="F974"/>
    </row>
    <row r="975" spans="1:6" s="33" customFormat="1" ht="15.75">
      <c r="A975" s="158"/>
      <c r="B975" s="148"/>
      <c r="C975" s="111"/>
      <c r="D975" s="111"/>
      <c r="E975" s="32"/>
      <c r="F975"/>
    </row>
    <row r="976" spans="1:6" s="33" customFormat="1" ht="15.75">
      <c r="A976" s="158"/>
      <c r="B976" s="148"/>
      <c r="C976" s="111"/>
      <c r="D976" s="111"/>
      <c r="E976" s="32"/>
      <c r="F976"/>
    </row>
    <row r="977" spans="1:6" s="33" customFormat="1" ht="15.75">
      <c r="A977" s="158"/>
      <c r="B977" s="148"/>
      <c r="C977" s="111"/>
      <c r="D977" s="111"/>
      <c r="E977" s="32"/>
      <c r="F977"/>
    </row>
    <row r="978" spans="1:6" s="33" customFormat="1" ht="15.75">
      <c r="A978" s="158"/>
      <c r="B978" s="148"/>
      <c r="C978" s="111"/>
      <c r="D978" s="111"/>
      <c r="E978" s="32"/>
      <c r="F978"/>
    </row>
    <row r="979" spans="1:6" s="33" customFormat="1" ht="15.75">
      <c r="A979" s="158"/>
      <c r="B979" s="148"/>
      <c r="C979" s="111"/>
      <c r="D979" s="111"/>
      <c r="E979" s="32"/>
      <c r="F979"/>
    </row>
    <row r="980" spans="1:6" s="33" customFormat="1" ht="15.75">
      <c r="A980" s="158"/>
      <c r="B980" s="148"/>
      <c r="C980" s="111"/>
      <c r="D980" s="111"/>
      <c r="E980" s="32"/>
      <c r="F980"/>
    </row>
    <row r="981" spans="1:6" s="33" customFormat="1" ht="15.75">
      <c r="A981" s="158"/>
      <c r="B981" s="148"/>
      <c r="C981" s="111"/>
      <c r="D981" s="111"/>
      <c r="E981" s="32"/>
      <c r="F981"/>
    </row>
    <row r="982" spans="1:6" s="33" customFormat="1" ht="15.75">
      <c r="A982" s="158"/>
      <c r="B982" s="148"/>
      <c r="C982" s="111"/>
      <c r="D982" s="111"/>
      <c r="E982" s="32"/>
      <c r="F982"/>
    </row>
    <row r="983" spans="1:6" s="33" customFormat="1" ht="15.75">
      <c r="A983" s="158"/>
      <c r="B983" s="148"/>
      <c r="C983" s="111"/>
      <c r="D983" s="111"/>
      <c r="E983" s="32"/>
      <c r="F983"/>
    </row>
    <row r="984" spans="1:6" s="33" customFormat="1" ht="15.75">
      <c r="A984" s="158"/>
      <c r="B984" s="148"/>
      <c r="C984" s="111"/>
      <c r="D984" s="111"/>
      <c r="E984" s="32"/>
      <c r="F984"/>
    </row>
    <row r="985" spans="1:6" s="33" customFormat="1" ht="15.75">
      <c r="A985" s="158"/>
      <c r="B985" s="148"/>
      <c r="C985" s="111"/>
      <c r="D985" s="111"/>
      <c r="E985" s="32"/>
      <c r="F985"/>
    </row>
    <row r="986" spans="1:6" s="33" customFormat="1" ht="15.75">
      <c r="A986" s="158"/>
      <c r="B986" s="148"/>
      <c r="C986" s="111"/>
      <c r="D986" s="111"/>
      <c r="E986" s="32"/>
      <c r="F986"/>
    </row>
    <row r="987" spans="1:6" s="33" customFormat="1" ht="15.75">
      <c r="A987" s="158"/>
      <c r="B987" s="148"/>
      <c r="C987" s="111"/>
      <c r="D987" s="111"/>
      <c r="E987" s="32"/>
      <c r="F987"/>
    </row>
    <row r="988" spans="1:6" s="33" customFormat="1" ht="15.75">
      <c r="A988" s="158"/>
      <c r="B988" s="148"/>
      <c r="C988" s="111"/>
      <c r="D988" s="111"/>
      <c r="E988" s="32"/>
      <c r="F988"/>
    </row>
    <row r="989" spans="1:6" s="33" customFormat="1" ht="15.75">
      <c r="A989" s="158"/>
      <c r="B989" s="148"/>
      <c r="C989" s="111"/>
      <c r="D989" s="111"/>
      <c r="E989" s="32"/>
      <c r="F989"/>
    </row>
    <row r="990" spans="1:6" s="33" customFormat="1" ht="15.75">
      <c r="A990" s="158"/>
      <c r="B990" s="148"/>
      <c r="C990" s="111"/>
      <c r="D990" s="111"/>
      <c r="E990" s="32"/>
      <c r="F990"/>
    </row>
    <row r="991" spans="1:6" s="33" customFormat="1" ht="15.75">
      <c r="A991" s="158"/>
      <c r="B991" s="148"/>
      <c r="C991" s="111"/>
      <c r="D991" s="111"/>
      <c r="E991" s="32"/>
      <c r="F991"/>
    </row>
    <row r="992" spans="1:6" s="33" customFormat="1" ht="15.75">
      <c r="A992" s="158"/>
      <c r="B992" s="148"/>
      <c r="C992" s="111"/>
      <c r="D992" s="111"/>
      <c r="E992" s="32"/>
      <c r="F992"/>
    </row>
    <row r="993" spans="1:6" s="33" customFormat="1" ht="15.75">
      <c r="A993" s="158"/>
      <c r="B993" s="148"/>
      <c r="C993" s="111"/>
      <c r="D993" s="111"/>
      <c r="E993" s="32"/>
      <c r="F993"/>
    </row>
    <row r="994" spans="1:6" s="33" customFormat="1" ht="15.75">
      <c r="A994" s="158"/>
      <c r="B994" s="148"/>
      <c r="C994" s="111"/>
      <c r="D994" s="111"/>
      <c r="E994" s="32"/>
      <c r="F994"/>
    </row>
    <row r="995" spans="1:6" s="33" customFormat="1" ht="15.75">
      <c r="A995" s="158"/>
      <c r="B995" s="148"/>
      <c r="C995" s="111"/>
      <c r="D995" s="111"/>
      <c r="E995" s="32"/>
      <c r="F995"/>
    </row>
    <row r="996" spans="1:6" s="33" customFormat="1" ht="15.75">
      <c r="A996" s="158"/>
      <c r="B996" s="148"/>
      <c r="C996" s="111"/>
      <c r="D996" s="111"/>
      <c r="E996" s="32"/>
      <c r="F996"/>
    </row>
    <row r="997" spans="1:6" s="33" customFormat="1" ht="15.75">
      <c r="A997" s="158"/>
      <c r="B997" s="148"/>
      <c r="C997" s="111"/>
      <c r="D997" s="111"/>
      <c r="E997" s="32"/>
      <c r="F997"/>
    </row>
    <row r="998" spans="1:6" s="33" customFormat="1" ht="15.75">
      <c r="A998" s="158"/>
      <c r="B998" s="148"/>
      <c r="C998" s="111"/>
      <c r="D998" s="111"/>
      <c r="E998" s="32"/>
      <c r="F998"/>
    </row>
    <row r="999" spans="1:6" s="33" customFormat="1" ht="15.75">
      <c r="A999" s="158"/>
      <c r="B999" s="148"/>
      <c r="C999" s="111"/>
      <c r="D999" s="111"/>
      <c r="E999" s="32"/>
      <c r="F999"/>
    </row>
    <row r="1000" spans="1:6" s="33" customFormat="1" ht="15.75">
      <c r="A1000" s="158"/>
      <c r="B1000" s="148"/>
      <c r="C1000" s="111"/>
      <c r="D1000" s="111"/>
      <c r="E1000" s="32"/>
      <c r="F1000"/>
    </row>
    <row r="1001" spans="1:6" ht="13.5" customHeight="1" thickBot="1">
      <c r="A1001" s="159"/>
      <c r="B1001" s="439" t="str">
        <f ca="1">OFFSET(L!$C$1,MATCH("General"&amp;"Cpy",L!$A:$A,0)-1,SL,,)</f>
        <v>© 2020 Responsible Minerals Initiative. All rights reserved.</v>
      </c>
      <c r="C1001" s="439"/>
      <c r="D1001" s="439"/>
      <c r="E1001" s="31"/>
    </row>
    <row r="1002" spans="1:6" ht="13.5" thickTop="1">
      <c r="D1002" s="118"/>
    </row>
  </sheetData>
  <sheetProtection algorithmName="SHA-512" hashValue="4Oonlh2jCaWHU+T/EYhmvV12AT3SVCLd4MtjpR2vZGPxJC5tZj9zQUuvH37IGf9XQ3f81XPOHGR5zgs+UQvRRA==" saltValue="dAR+2p0VxKH520ETbsgA8g==" spinCount="100000" sheet="1" objects="1" scenarios="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91"/>
  <sheetViews>
    <sheetView zoomScaleNormal="100" zoomScalePageLayoutView="85" workbookViewId="0">
      <pane ySplit="4" topLeftCell="A5" activePane="bottomLeft" state="frozen"/>
      <selection activeCell="A4" sqref="A4"/>
      <selection pane="bottomLeft" activeCell="C11" sqref="C11"/>
    </sheetView>
  </sheetViews>
  <sheetFormatPr defaultColWidth="8.875" defaultRowHeight="12.75"/>
  <cols>
    <col min="1" max="1" width="9.125" style="227" bestFit="1" customWidth="1"/>
    <col min="2" max="2" width="42.875" style="227" customWidth="1"/>
    <col min="3" max="3" width="63.875" style="227" customWidth="1"/>
    <col min="4" max="4" width="25.625" style="227" customWidth="1"/>
    <col min="5" max="5" width="12.625" style="227" customWidth="1"/>
    <col min="6" max="6" width="12.625" style="228" customWidth="1"/>
    <col min="7" max="7" width="15.375" style="227" customWidth="1"/>
    <col min="8" max="8" width="23.875" style="227" customWidth="1"/>
    <col min="9" max="9" width="28.125" style="227" customWidth="1"/>
    <col min="10" max="10" width="48.125" style="227" hidden="1" customWidth="1"/>
    <col min="11" max="11" width="49.875" style="227" hidden="1" customWidth="1"/>
    <col min="12" max="13" width="49.875" style="227" customWidth="1"/>
    <col min="14" max="16384" width="8.875" style="227"/>
  </cols>
  <sheetData>
    <row r="1" spans="1:16" ht="168.75" customHeight="1">
      <c r="A1" s="440"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0"/>
      <c r="C1" s="440"/>
      <c r="D1" s="440"/>
      <c r="E1" s="440"/>
      <c r="F1" s="440"/>
      <c r="G1" s="440"/>
    </row>
    <row r="2" spans="1:16">
      <c r="A2" s="441"/>
      <c r="B2" s="441"/>
      <c r="C2" s="441"/>
      <c r="D2" s="441"/>
      <c r="E2" s="441"/>
      <c r="F2" s="441"/>
      <c r="G2" s="441"/>
      <c r="H2" s="441"/>
      <c r="I2" s="441"/>
    </row>
    <row r="3" spans="1:16">
      <c r="A3" s="441"/>
      <c r="B3" s="441"/>
      <c r="C3" s="441"/>
      <c r="D3" s="441"/>
      <c r="E3" s="441"/>
      <c r="F3" s="441"/>
      <c r="G3" s="441"/>
      <c r="H3" s="441"/>
      <c r="I3" s="441"/>
    </row>
    <row r="4" spans="1:16" s="230" customFormat="1" ht="51">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14205</v>
      </c>
      <c r="C31" s="284" t="s">
        <v>14205</v>
      </c>
      <c r="D31" s="284" t="s">
        <v>1129</v>
      </c>
      <c r="E31" s="284" t="s">
        <v>14231</v>
      </c>
      <c r="F31" s="250" t="s">
        <v>13577</v>
      </c>
      <c r="G31" s="250"/>
      <c r="H31" s="284" t="s">
        <v>14247</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14206</v>
      </c>
      <c r="C39" s="284" t="s">
        <v>14206</v>
      </c>
      <c r="D39" s="284" t="s">
        <v>13323</v>
      </c>
      <c r="E39" s="284" t="s">
        <v>14232</v>
      </c>
      <c r="F39" s="250" t="s">
        <v>13577</v>
      </c>
      <c r="G39" s="250"/>
      <c r="H39" s="284" t="s">
        <v>14248</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14207</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14208</v>
      </c>
      <c r="C69" s="284" t="s">
        <v>14208</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14209</v>
      </c>
      <c r="C70" s="284" t="s">
        <v>14209</v>
      </c>
      <c r="D70" s="284" t="s">
        <v>1131</v>
      </c>
      <c r="E70" s="284" t="s">
        <v>14233</v>
      </c>
      <c r="F70" s="250" t="s">
        <v>13577</v>
      </c>
      <c r="G70" s="250"/>
      <c r="H70" s="284" t="s">
        <v>14250</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14210</v>
      </c>
      <c r="C71" s="284" t="s">
        <v>14210</v>
      </c>
      <c r="D71" s="284" t="s">
        <v>1131</v>
      </c>
      <c r="E71" s="284" t="s">
        <v>14234</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14211</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14212</v>
      </c>
      <c r="C81" s="284" t="s">
        <v>14212</v>
      </c>
      <c r="D81" s="284" t="s">
        <v>13350</v>
      </c>
      <c r="E81" s="284" t="s">
        <v>14235</v>
      </c>
      <c r="F81" s="250" t="s">
        <v>13577</v>
      </c>
      <c r="G81" s="250"/>
      <c r="H81" s="284" t="s">
        <v>14411</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14213</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14214</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14215</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14216</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14217</v>
      </c>
      <c r="C110" s="284" t="s">
        <v>14217</v>
      </c>
      <c r="D110" s="284" t="s">
        <v>1129</v>
      </c>
      <c r="E110" s="284" t="s">
        <v>14236</v>
      </c>
      <c r="F110" s="250" t="s">
        <v>13577</v>
      </c>
      <c r="G110" s="250"/>
      <c r="H110" s="284" t="s">
        <v>14251</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14218</v>
      </c>
      <c r="C133" s="284" t="s">
        <v>14218</v>
      </c>
      <c r="D133" s="284" t="s">
        <v>1129</v>
      </c>
      <c r="E133" s="284" t="s">
        <v>14237</v>
      </c>
      <c r="F133" s="250" t="s">
        <v>13577</v>
      </c>
      <c r="G133" s="250"/>
      <c r="H133" s="284" t="s">
        <v>14252</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14213</v>
      </c>
      <c r="C144" s="284" t="s">
        <v>14213</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14219</v>
      </c>
      <c r="C225" s="284" t="s">
        <v>14219</v>
      </c>
      <c r="D225" s="284" t="s">
        <v>1129</v>
      </c>
      <c r="E225" s="284" t="s">
        <v>14238</v>
      </c>
      <c r="F225" s="250" t="s">
        <v>13577</v>
      </c>
      <c r="G225" s="250"/>
      <c r="H225" s="284" t="s">
        <v>14247</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14220</v>
      </c>
      <c r="C333" s="284" t="s">
        <v>14221</v>
      </c>
      <c r="D333" t="s">
        <v>14432</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14221</v>
      </c>
      <c r="D334" t="s">
        <v>14432</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14221</v>
      </c>
      <c r="C335" s="284" t="s">
        <v>14221</v>
      </c>
      <c r="D335" t="s">
        <v>14432</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14222</v>
      </c>
      <c r="C386" s="284" t="s">
        <v>14222</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14222</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14223</v>
      </c>
      <c r="C411" s="284" t="s">
        <v>14223</v>
      </c>
      <c r="D411" s="284" t="s">
        <v>13442</v>
      </c>
      <c r="E411" s="284" t="s">
        <v>14239</v>
      </c>
      <c r="F411" s="250" t="s">
        <v>13577</v>
      </c>
      <c r="G411" s="250"/>
      <c r="H411" s="284" t="s">
        <v>14253</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14412</v>
      </c>
      <c r="F440" s="250" t="s">
        <v>13577</v>
      </c>
      <c r="G440" s="250"/>
      <c r="H440" s="284" t="s">
        <v>14249</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14224</v>
      </c>
      <c r="C442" s="284" t="s">
        <v>14224</v>
      </c>
      <c r="D442" s="284" t="s">
        <v>1128</v>
      </c>
      <c r="E442" s="284" t="s">
        <v>14240</v>
      </c>
      <c r="F442" s="250" t="s">
        <v>13577</v>
      </c>
      <c r="G442" s="250"/>
      <c r="H442" s="284" t="s">
        <v>14249</v>
      </c>
      <c r="I442" s="284" t="s">
        <v>14249</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14225</v>
      </c>
      <c r="C489" s="284" t="s">
        <v>14225</v>
      </c>
      <c r="D489" s="284" t="s">
        <v>1119</v>
      </c>
      <c r="E489" s="284" t="s">
        <v>14241</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14226</v>
      </c>
      <c r="C493" s="284" t="s">
        <v>14226</v>
      </c>
      <c r="D493" s="284" t="s">
        <v>915</v>
      </c>
      <c r="E493" s="284" t="s">
        <v>14242</v>
      </c>
      <c r="F493" s="250" t="s">
        <v>13577</v>
      </c>
      <c r="G493" s="250"/>
      <c r="H493" s="284" t="s">
        <v>14254</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14243</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14227</v>
      </c>
      <c r="C504" s="284" t="s">
        <v>14227</v>
      </c>
      <c r="D504" s="284" t="s">
        <v>1119</v>
      </c>
      <c r="E504" s="284" t="s">
        <v>14244</v>
      </c>
      <c r="F504" s="250" t="s">
        <v>13577</v>
      </c>
      <c r="G504" s="250"/>
      <c r="H504" s="284" t="s">
        <v>14255</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14228</v>
      </c>
      <c r="C511" s="284" t="s">
        <v>14228</v>
      </c>
      <c r="D511" s="284" t="s">
        <v>1123</v>
      </c>
      <c r="E511" s="284" t="s">
        <v>14245</v>
      </c>
      <c r="F511" s="250" t="s">
        <v>13577</v>
      </c>
      <c r="G511" s="250"/>
      <c r="H511" s="284" t="s">
        <v>14249</v>
      </c>
      <c r="I511" s="284" t="s">
        <v>14249</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14229</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14229</v>
      </c>
      <c r="C533" s="284" t="s">
        <v>14229</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14230</v>
      </c>
      <c r="C545" s="284" t="s">
        <v>14230</v>
      </c>
      <c r="D545" s="284" t="s">
        <v>906</v>
      </c>
      <c r="E545" s="284" t="s">
        <v>14246</v>
      </c>
      <c r="F545" s="250" t="s">
        <v>13577</v>
      </c>
      <c r="G545" s="250"/>
      <c r="H545" s="284" t="s">
        <v>14256</v>
      </c>
      <c r="I545" s="284" t="s">
        <v>14257</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3.5"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0FlTpRUAY1Y1J73JMcs8F/Rl8EyqITS6LJi4ggAse8Z6v4AOy/zrqxTJN2DuxXwMOpSPY455mlrB+nTmSXr0Ng==" saltValue="mmPPfA+Ujwm95XM9NVLpjw==" spinCount="100000" sheet="1" objects="1" scenarios="1" formatRows="0"/>
  <autoFilter ref="A4:I591"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5:J352 J355:J483 J5:J292 J486:J591">
    <cfRule type="cellIs" dxfId="16" priority="21" stopIfTrue="1" operator="equal">
      <formula>"Yes"</formula>
    </cfRule>
  </conditionalFormatting>
  <conditionalFormatting sqref="K5">
    <cfRule type="cellIs" dxfId="15" priority="5" stopIfTrue="1" operator="equal">
      <formula>"Yes"</formula>
    </cfRule>
  </conditionalFormatting>
  <conditionalFormatting sqref="J293:J294">
    <cfRule type="cellIs" dxfId="14" priority="3" stopIfTrue="1" operator="equal">
      <formula>"Yes"</formula>
    </cfRule>
  </conditionalFormatting>
  <conditionalFormatting sqref="J353:J354">
    <cfRule type="cellIs" dxfId="13" priority="2" stopIfTrue="1" operator="equal">
      <formula>"Yes"</formula>
    </cfRule>
  </conditionalFormatting>
  <conditionalFormatting sqref="J484:J485">
    <cfRule type="cellIs" dxfId="12"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topLeftCell="A133" zoomScale="70" zoomScaleNormal="70" zoomScalePageLayoutView="90" workbookViewId="0">
      <selection activeCell="D49" sqref="D49"/>
    </sheetView>
  </sheetViews>
  <sheetFormatPr defaultColWidth="8.875" defaultRowHeight="14.25"/>
  <cols>
    <col min="1" max="1" width="14.625" style="293" customWidth="1"/>
    <col min="2" max="2" width="14" style="293" customWidth="1"/>
    <col min="3" max="3" width="6.125" style="293" customWidth="1"/>
    <col min="4" max="4" width="56.125" style="293" customWidth="1"/>
    <col min="5" max="5" width="53.875" style="288" customWidth="1"/>
    <col min="6" max="6" width="54.125" style="293" customWidth="1"/>
    <col min="7" max="7" width="68.125" style="293" customWidth="1"/>
    <col min="8" max="8" width="49.125" style="293" customWidth="1"/>
    <col min="9" max="9" width="51.625" style="293" customWidth="1"/>
    <col min="10" max="10" width="50.125" style="293" customWidth="1"/>
    <col min="11" max="11" width="51.875" style="255" customWidth="1"/>
    <col min="12" max="12" width="66.875" style="326" customWidth="1"/>
    <col min="13" max="13" width="46.125" style="187" customWidth="1"/>
    <col min="14" max="15" width="8.875" style="187" customWidth="1"/>
    <col min="16" max="16384" width="8.875" style="187"/>
  </cols>
  <sheetData>
    <row r="1" spans="1:13">
      <c r="B1" s="293" t="s">
        <v>1459</v>
      </c>
      <c r="C1" s="293" t="s">
        <v>646</v>
      </c>
      <c r="D1" s="293" t="s">
        <v>884</v>
      </c>
      <c r="E1" s="257" t="s">
        <v>13632</v>
      </c>
      <c r="F1" s="293" t="s">
        <v>14579</v>
      </c>
      <c r="G1" s="293" t="s">
        <v>543</v>
      </c>
      <c r="H1" s="293" t="s">
        <v>544</v>
      </c>
      <c r="I1" s="293" t="s">
        <v>545</v>
      </c>
      <c r="J1" s="293" t="s">
        <v>546</v>
      </c>
      <c r="K1" s="296" t="s">
        <v>547</v>
      </c>
      <c r="L1" s="300" t="s">
        <v>548</v>
      </c>
      <c r="M1" s="187" t="s">
        <v>15079</v>
      </c>
    </row>
    <row r="2" spans="1:13" ht="85.5">
      <c r="A2" s="293" t="str">
        <f>B2&amp;C2</f>
        <v>InstructionsA1</v>
      </c>
      <c r="B2" s="293" t="s">
        <v>542</v>
      </c>
      <c r="C2" s="293" t="s">
        <v>647</v>
      </c>
      <c r="D2" s="293" t="s">
        <v>13490</v>
      </c>
      <c r="E2" s="293" t="s">
        <v>14482</v>
      </c>
      <c r="F2" s="346" t="s">
        <v>14580</v>
      </c>
      <c r="G2" s="293" t="s">
        <v>14777</v>
      </c>
      <c r="H2" s="293" t="s">
        <v>14852</v>
      </c>
      <c r="I2" s="293" t="s">
        <v>14909</v>
      </c>
      <c r="J2" s="293" t="s">
        <v>13804</v>
      </c>
      <c r="K2" s="287" t="s">
        <v>13620</v>
      </c>
      <c r="L2" s="300" t="s">
        <v>15026</v>
      </c>
      <c r="M2" s="293" t="s">
        <v>15080</v>
      </c>
    </row>
    <row r="3" spans="1:13" ht="28.5">
      <c r="A3" s="293" t="str">
        <f t="shared" ref="A3" si="0">B3&amp;C3</f>
        <v>InstructionsA2</v>
      </c>
      <c r="B3" s="293" t="s">
        <v>542</v>
      </c>
      <c r="C3" s="293" t="s">
        <v>648</v>
      </c>
      <c r="D3" s="293" t="s">
        <v>877</v>
      </c>
      <c r="E3" s="257" t="s">
        <v>13633</v>
      </c>
      <c r="F3" s="346" t="s">
        <v>14581</v>
      </c>
      <c r="G3" s="293" t="s">
        <v>1064</v>
      </c>
      <c r="H3" s="293" t="s">
        <v>877</v>
      </c>
      <c r="I3" s="293" t="s">
        <v>1065</v>
      </c>
      <c r="J3" s="293" t="s">
        <v>1066</v>
      </c>
      <c r="K3" s="287" t="s">
        <v>408</v>
      </c>
      <c r="L3" s="300" t="s">
        <v>1197</v>
      </c>
      <c r="M3" s="293" t="s">
        <v>15081</v>
      </c>
    </row>
    <row r="4" spans="1:13" ht="399">
      <c r="A4" s="293" t="str">
        <f t="shared" ref="A4:A27" si="1">B4&amp;C4</f>
        <v>InstructionsA3</v>
      </c>
      <c r="B4" s="293" t="s">
        <v>542</v>
      </c>
      <c r="C4" s="293" t="s">
        <v>649</v>
      </c>
      <c r="D4" s="293" t="s">
        <v>13618</v>
      </c>
      <c r="E4" s="328" t="s">
        <v>14483</v>
      </c>
      <c r="F4" s="346" t="s">
        <v>14582</v>
      </c>
      <c r="G4" s="293" t="s">
        <v>14778</v>
      </c>
      <c r="H4" s="293" t="s">
        <v>14853</v>
      </c>
      <c r="I4" s="293" t="s">
        <v>14910</v>
      </c>
      <c r="J4" s="293" t="s">
        <v>13805</v>
      </c>
      <c r="K4" s="287" t="s">
        <v>14967</v>
      </c>
      <c r="L4" s="300" t="s">
        <v>15027</v>
      </c>
      <c r="M4" s="293" t="s">
        <v>15082</v>
      </c>
    </row>
    <row r="5" spans="1:13" ht="365.25" customHeight="1">
      <c r="A5" s="293" t="str">
        <f t="shared" si="1"/>
        <v>InstructionsA4</v>
      </c>
      <c r="B5" s="293" t="s">
        <v>542</v>
      </c>
      <c r="C5" s="293" t="s">
        <v>650</v>
      </c>
      <c r="D5" s="293" t="s">
        <v>15274</v>
      </c>
      <c r="E5" s="293" t="s">
        <v>14484</v>
      </c>
      <c r="F5" s="346" t="s">
        <v>15478</v>
      </c>
      <c r="G5" s="293" t="s">
        <v>14779</v>
      </c>
      <c r="H5" s="293" t="s">
        <v>14854</v>
      </c>
      <c r="I5" s="293" t="s">
        <v>14911</v>
      </c>
      <c r="J5" s="293" t="s">
        <v>15273</v>
      </c>
      <c r="K5" s="293" t="s">
        <v>14968</v>
      </c>
      <c r="L5" s="293" t="s">
        <v>15028</v>
      </c>
      <c r="M5" s="293" t="s">
        <v>15083</v>
      </c>
    </row>
    <row r="6" spans="1:13" ht="42.75">
      <c r="A6" s="293" t="str">
        <f t="shared" si="1"/>
        <v>InstructionsA6</v>
      </c>
      <c r="B6" s="293" t="s">
        <v>542</v>
      </c>
      <c r="C6" s="293" t="s">
        <v>651</v>
      </c>
      <c r="D6" s="293" t="s">
        <v>420</v>
      </c>
      <c r="E6" s="257" t="s">
        <v>14485</v>
      </c>
      <c r="F6" s="346" t="s">
        <v>14583</v>
      </c>
      <c r="G6" s="293" t="s">
        <v>14780</v>
      </c>
      <c r="H6" s="293" t="s">
        <v>321</v>
      </c>
      <c r="I6" s="293" t="s">
        <v>284</v>
      </c>
      <c r="J6" s="293" t="s">
        <v>1352</v>
      </c>
      <c r="K6" s="287" t="s">
        <v>14969</v>
      </c>
      <c r="L6" s="300" t="s">
        <v>15029</v>
      </c>
      <c r="M6" s="293" t="s">
        <v>15084</v>
      </c>
    </row>
    <row r="7" spans="1:13" ht="28.5">
      <c r="A7" s="293" t="str">
        <f t="shared" si="1"/>
        <v>InstructionsA7</v>
      </c>
      <c r="B7" s="293" t="s">
        <v>542</v>
      </c>
      <c r="C7" s="293" t="s">
        <v>652</v>
      </c>
      <c r="D7" s="293" t="s">
        <v>2494</v>
      </c>
      <c r="E7" s="257" t="s">
        <v>13634</v>
      </c>
      <c r="F7" s="346" t="s">
        <v>14584</v>
      </c>
      <c r="G7" s="293" t="s">
        <v>1067</v>
      </c>
      <c r="H7" s="293" t="s">
        <v>549</v>
      </c>
      <c r="I7" s="293" t="s">
        <v>285</v>
      </c>
      <c r="J7" s="293" t="s">
        <v>1271</v>
      </c>
      <c r="K7" s="287" t="s">
        <v>409</v>
      </c>
      <c r="L7" s="300" t="s">
        <v>1198</v>
      </c>
      <c r="M7" s="293" t="s">
        <v>15085</v>
      </c>
    </row>
    <row r="8" spans="1:13" ht="86.25" customHeight="1">
      <c r="A8" s="293" t="str">
        <f t="shared" si="1"/>
        <v>InstructionsA8</v>
      </c>
      <c r="B8" s="293" t="s">
        <v>542</v>
      </c>
      <c r="C8" s="293" t="s">
        <v>653</v>
      </c>
      <c r="D8" s="293" t="s">
        <v>2573</v>
      </c>
      <c r="E8" s="328" t="s">
        <v>14486</v>
      </c>
      <c r="F8" s="346" t="s">
        <v>14585</v>
      </c>
      <c r="G8" s="293" t="s">
        <v>2603</v>
      </c>
      <c r="H8" s="293" t="s">
        <v>2608</v>
      </c>
      <c r="I8" s="293" t="s">
        <v>2609</v>
      </c>
      <c r="J8" s="293" t="s">
        <v>2614</v>
      </c>
      <c r="K8" s="287" t="s">
        <v>2615</v>
      </c>
      <c r="L8" s="300" t="s">
        <v>2620</v>
      </c>
      <c r="M8" s="293" t="s">
        <v>2621</v>
      </c>
    </row>
    <row r="9" spans="1:13" ht="409.5">
      <c r="A9" s="293" t="str">
        <f t="shared" si="1"/>
        <v>InstructionsA9</v>
      </c>
      <c r="B9" s="293" t="s">
        <v>542</v>
      </c>
      <c r="C9" s="293" t="s">
        <v>1200</v>
      </c>
      <c r="D9" s="293" t="s">
        <v>13841</v>
      </c>
      <c r="E9" s="327" t="s">
        <v>14487</v>
      </c>
      <c r="F9" s="347" t="s">
        <v>14586</v>
      </c>
      <c r="G9" s="295" t="s">
        <v>14781</v>
      </c>
      <c r="H9" s="295" t="s">
        <v>14855</v>
      </c>
      <c r="I9" s="295" t="s">
        <v>14912</v>
      </c>
      <c r="J9" s="295" t="s">
        <v>1463</v>
      </c>
      <c r="K9" s="289" t="s">
        <v>14970</v>
      </c>
      <c r="L9" s="301" t="s">
        <v>15030</v>
      </c>
      <c r="M9" s="293" t="s">
        <v>15086</v>
      </c>
    </row>
    <row r="10" spans="1:13" ht="57">
      <c r="A10" s="293" t="str">
        <f t="shared" si="1"/>
        <v>InstructionsA10</v>
      </c>
      <c r="B10" s="293" t="s">
        <v>542</v>
      </c>
      <c r="C10" s="293" t="s">
        <v>1201</v>
      </c>
      <c r="D10" s="293" t="s">
        <v>428</v>
      </c>
      <c r="E10" s="257" t="s">
        <v>13635</v>
      </c>
      <c r="F10" s="346" t="s">
        <v>14587</v>
      </c>
      <c r="G10" s="293" t="s">
        <v>847</v>
      </c>
      <c r="H10" s="293" t="s">
        <v>322</v>
      </c>
      <c r="I10" s="293" t="s">
        <v>286</v>
      </c>
      <c r="J10" s="293" t="s">
        <v>1353</v>
      </c>
      <c r="K10" s="252" t="s">
        <v>410</v>
      </c>
      <c r="L10" s="300" t="s">
        <v>1273</v>
      </c>
      <c r="M10" s="293" t="s">
        <v>15087</v>
      </c>
    </row>
    <row r="11" spans="1:13" ht="42.75">
      <c r="A11" s="293" t="str">
        <f t="shared" si="1"/>
        <v>InstructionsA11</v>
      </c>
      <c r="B11" s="293" t="s">
        <v>542</v>
      </c>
      <c r="C11" s="293" t="s">
        <v>1202</v>
      </c>
      <c r="D11" s="293" t="s">
        <v>429</v>
      </c>
      <c r="E11" s="257" t="s">
        <v>13636</v>
      </c>
      <c r="F11" s="346" t="s">
        <v>14588</v>
      </c>
      <c r="G11" s="293" t="s">
        <v>355</v>
      </c>
      <c r="H11" s="293" t="s">
        <v>435</v>
      </c>
      <c r="I11" s="293" t="s">
        <v>287</v>
      </c>
      <c r="J11" s="293" t="s">
        <v>1354</v>
      </c>
      <c r="K11" s="252" t="s">
        <v>411</v>
      </c>
      <c r="L11" s="300" t="s">
        <v>7</v>
      </c>
      <c r="M11" s="293" t="s">
        <v>15088</v>
      </c>
    </row>
    <row r="12" spans="1:13" ht="42.75">
      <c r="A12" s="293" t="str">
        <f t="shared" si="1"/>
        <v>InstructionsA12</v>
      </c>
      <c r="B12" s="293" t="s">
        <v>542</v>
      </c>
      <c r="C12" s="293" t="s">
        <v>1203</v>
      </c>
      <c r="D12" s="293" t="s">
        <v>430</v>
      </c>
      <c r="E12" s="257" t="s">
        <v>13637</v>
      </c>
      <c r="F12" s="346" t="s">
        <v>14589</v>
      </c>
      <c r="G12" s="293" t="s">
        <v>356</v>
      </c>
      <c r="H12" s="293" t="s">
        <v>436</v>
      </c>
      <c r="I12" s="293" t="s">
        <v>288</v>
      </c>
      <c r="J12" s="293" t="s">
        <v>1355</v>
      </c>
      <c r="K12" s="252" t="s">
        <v>126</v>
      </c>
      <c r="L12" s="300" t="s">
        <v>8</v>
      </c>
      <c r="M12" s="293" t="s">
        <v>15089</v>
      </c>
    </row>
    <row r="13" spans="1:13" ht="57">
      <c r="A13" s="293" t="str">
        <f t="shared" si="1"/>
        <v>InstructionsA13</v>
      </c>
      <c r="B13" s="293" t="s">
        <v>542</v>
      </c>
      <c r="C13" s="293" t="s">
        <v>1204</v>
      </c>
      <c r="D13" s="293" t="s">
        <v>421</v>
      </c>
      <c r="E13" s="257" t="s">
        <v>13638</v>
      </c>
      <c r="F13" s="346" t="s">
        <v>14590</v>
      </c>
      <c r="G13" s="293" t="s">
        <v>357</v>
      </c>
      <c r="H13" s="293" t="s">
        <v>437</v>
      </c>
      <c r="I13" s="293" t="s">
        <v>289</v>
      </c>
      <c r="J13" s="293" t="s">
        <v>1356</v>
      </c>
      <c r="K13" s="252" t="s">
        <v>125</v>
      </c>
      <c r="L13" s="300" t="s">
        <v>9</v>
      </c>
      <c r="M13" s="293" t="s">
        <v>15090</v>
      </c>
    </row>
    <row r="14" spans="1:13" ht="85.5">
      <c r="A14" s="293" t="str">
        <f t="shared" si="1"/>
        <v>InstructionsA14</v>
      </c>
      <c r="B14" s="293" t="s">
        <v>542</v>
      </c>
      <c r="C14" s="293" t="s">
        <v>1205</v>
      </c>
      <c r="D14" s="293" t="s">
        <v>422</v>
      </c>
      <c r="E14" s="257" t="s">
        <v>13639</v>
      </c>
      <c r="F14" s="346" t="s">
        <v>14591</v>
      </c>
      <c r="G14" s="293" t="s">
        <v>358</v>
      </c>
      <c r="H14" s="293" t="s">
        <v>438</v>
      </c>
      <c r="I14" s="293" t="s">
        <v>290</v>
      </c>
      <c r="J14" s="293" t="s">
        <v>1385</v>
      </c>
      <c r="K14" s="252" t="s">
        <v>124</v>
      </c>
      <c r="L14" s="300" t="s">
        <v>10</v>
      </c>
      <c r="M14" s="293" t="s">
        <v>15091</v>
      </c>
    </row>
    <row r="15" spans="1:13" ht="42.75">
      <c r="A15" s="293" t="str">
        <f t="shared" si="1"/>
        <v>InstructionsA15</v>
      </c>
      <c r="B15" s="293" t="s">
        <v>542</v>
      </c>
      <c r="C15" s="293" t="s">
        <v>424</v>
      </c>
      <c r="D15" s="293" t="s">
        <v>423</v>
      </c>
      <c r="E15" s="257" t="s">
        <v>13640</v>
      </c>
      <c r="F15" s="346" t="s">
        <v>14592</v>
      </c>
      <c r="G15" s="293" t="s">
        <v>359</v>
      </c>
      <c r="H15" s="293" t="s">
        <v>439</v>
      </c>
      <c r="I15" s="293" t="s">
        <v>291</v>
      </c>
      <c r="J15" s="293" t="s">
        <v>1357</v>
      </c>
      <c r="K15" s="252" t="s">
        <v>123</v>
      </c>
      <c r="L15" s="300" t="s">
        <v>11</v>
      </c>
      <c r="M15" s="293" t="s">
        <v>15092</v>
      </c>
    </row>
    <row r="16" spans="1:13" ht="99.75">
      <c r="A16" s="293" t="str">
        <f t="shared" si="1"/>
        <v>InstructionsA16</v>
      </c>
      <c r="B16" s="293" t="s">
        <v>542</v>
      </c>
      <c r="C16" s="293" t="s">
        <v>1206</v>
      </c>
      <c r="D16" s="293" t="s">
        <v>13485</v>
      </c>
      <c r="E16" s="257" t="s">
        <v>14356</v>
      </c>
      <c r="F16" s="346" t="s">
        <v>14593</v>
      </c>
      <c r="G16" s="293" t="s">
        <v>360</v>
      </c>
      <c r="H16" s="293" t="s">
        <v>440</v>
      </c>
      <c r="I16" s="293" t="s">
        <v>292</v>
      </c>
      <c r="J16" s="293" t="s">
        <v>1358</v>
      </c>
      <c r="K16" s="287" t="s">
        <v>412</v>
      </c>
      <c r="L16" s="300" t="s">
        <v>12</v>
      </c>
      <c r="M16" s="293" t="s">
        <v>15093</v>
      </c>
    </row>
    <row r="17" spans="1:13" ht="42.75">
      <c r="A17" s="293" t="str">
        <f t="shared" si="1"/>
        <v>InstructionsA17</v>
      </c>
      <c r="B17" s="293" t="s">
        <v>542</v>
      </c>
      <c r="C17" s="293" t="s">
        <v>1207</v>
      </c>
      <c r="D17" s="293" t="s">
        <v>425</v>
      </c>
      <c r="E17" s="257" t="s">
        <v>13641</v>
      </c>
      <c r="F17" s="346" t="s">
        <v>14594</v>
      </c>
      <c r="G17" s="293" t="s">
        <v>361</v>
      </c>
      <c r="H17" s="293" t="s">
        <v>441</v>
      </c>
      <c r="I17" s="293" t="s">
        <v>293</v>
      </c>
      <c r="J17" s="293" t="s">
        <v>1359</v>
      </c>
      <c r="K17" s="287" t="s">
        <v>413</v>
      </c>
      <c r="L17" s="300" t="s">
        <v>13</v>
      </c>
      <c r="M17" s="293" t="s">
        <v>15094</v>
      </c>
    </row>
    <row r="18" spans="1:13" ht="85.5">
      <c r="A18" s="293" t="str">
        <f t="shared" si="1"/>
        <v>InstructionsA18</v>
      </c>
      <c r="B18" s="293" t="s">
        <v>542</v>
      </c>
      <c r="C18" s="293" t="s">
        <v>1208</v>
      </c>
      <c r="D18" s="293" t="s">
        <v>2296</v>
      </c>
      <c r="E18" s="257" t="s">
        <v>13642</v>
      </c>
      <c r="F18" s="346" t="s">
        <v>14595</v>
      </c>
      <c r="G18" s="293" t="s">
        <v>2297</v>
      </c>
      <c r="H18" s="293" t="s">
        <v>2298</v>
      </c>
      <c r="I18" s="293" t="s">
        <v>2299</v>
      </c>
      <c r="J18" s="293" t="s">
        <v>2300</v>
      </c>
      <c r="K18" s="287" t="s">
        <v>2301</v>
      </c>
      <c r="L18" s="300" t="s">
        <v>2302</v>
      </c>
      <c r="M18" s="293" t="s">
        <v>15095</v>
      </c>
    </row>
    <row r="19" spans="1:13" ht="75.75" customHeight="1">
      <c r="A19" s="293" t="str">
        <f t="shared" si="1"/>
        <v>InstructionsA19</v>
      </c>
      <c r="B19" s="293" t="s">
        <v>542</v>
      </c>
      <c r="C19" s="293" t="s">
        <v>1209</v>
      </c>
      <c r="D19" s="293" t="s">
        <v>15276</v>
      </c>
      <c r="E19" s="293" t="s">
        <v>14488</v>
      </c>
      <c r="F19" s="346" t="s">
        <v>14596</v>
      </c>
      <c r="G19" s="293" t="s">
        <v>14779</v>
      </c>
      <c r="H19" s="293" t="s">
        <v>14856</v>
      </c>
      <c r="I19" s="293" t="s">
        <v>14911</v>
      </c>
      <c r="J19" s="293" t="s">
        <v>15275</v>
      </c>
      <c r="K19" s="293" t="s">
        <v>14971</v>
      </c>
      <c r="L19" s="293" t="s">
        <v>15031</v>
      </c>
      <c r="M19" s="293" t="s">
        <v>15096</v>
      </c>
    </row>
    <row r="20" spans="1:13" ht="42.75">
      <c r="A20" s="293" t="str">
        <f t="shared" si="1"/>
        <v>InstructionsA20</v>
      </c>
      <c r="B20" s="293" t="s">
        <v>542</v>
      </c>
      <c r="C20" s="293" t="s">
        <v>1210</v>
      </c>
      <c r="D20" s="293" t="s">
        <v>431</v>
      </c>
      <c r="E20" s="257" t="s">
        <v>13643</v>
      </c>
      <c r="F20" s="346" t="s">
        <v>14597</v>
      </c>
      <c r="G20" s="293" t="s">
        <v>362</v>
      </c>
      <c r="H20" s="293" t="s">
        <v>442</v>
      </c>
      <c r="I20" s="293" t="s">
        <v>294</v>
      </c>
      <c r="J20" s="293" t="s">
        <v>1360</v>
      </c>
      <c r="K20" s="287" t="s">
        <v>414</v>
      </c>
      <c r="L20" s="300" t="s">
        <v>14</v>
      </c>
      <c r="M20" s="293" t="s">
        <v>15097</v>
      </c>
    </row>
    <row r="21" spans="1:13" ht="42.75">
      <c r="A21" s="293" t="str">
        <f t="shared" si="1"/>
        <v>InstructionsA21</v>
      </c>
      <c r="B21" s="293" t="s">
        <v>542</v>
      </c>
      <c r="C21" s="293" t="s">
        <v>1211</v>
      </c>
      <c r="D21" s="293" t="s">
        <v>432</v>
      </c>
      <c r="E21" s="257" t="s">
        <v>13644</v>
      </c>
      <c r="F21" s="346" t="s">
        <v>14598</v>
      </c>
      <c r="G21" s="293" t="s">
        <v>363</v>
      </c>
      <c r="H21" s="293" t="s">
        <v>443</v>
      </c>
      <c r="I21" s="293" t="s">
        <v>295</v>
      </c>
      <c r="J21" s="293" t="s">
        <v>1361</v>
      </c>
      <c r="K21" s="287" t="s">
        <v>415</v>
      </c>
      <c r="L21" s="300" t="s">
        <v>15</v>
      </c>
      <c r="M21" s="293" t="s">
        <v>15098</v>
      </c>
    </row>
    <row r="22" spans="1:13" ht="54.75" customHeight="1">
      <c r="A22" s="293" t="str">
        <f t="shared" si="1"/>
        <v>InstructionsA23</v>
      </c>
      <c r="B22" s="293" t="s">
        <v>542</v>
      </c>
      <c r="C22" s="293" t="s">
        <v>1212</v>
      </c>
      <c r="D22" s="293" t="s">
        <v>15278</v>
      </c>
      <c r="E22" s="293" t="s">
        <v>14489</v>
      </c>
      <c r="F22" s="346" t="s">
        <v>15479</v>
      </c>
      <c r="G22" s="293" t="s">
        <v>14782</v>
      </c>
      <c r="H22" s="293" t="s">
        <v>14856</v>
      </c>
      <c r="I22" s="293" t="s">
        <v>14913</v>
      </c>
      <c r="J22" s="293" t="s">
        <v>15277</v>
      </c>
      <c r="K22" s="293" t="s">
        <v>14972</v>
      </c>
      <c r="L22" s="293" t="s">
        <v>15032</v>
      </c>
      <c r="M22" s="293" t="s">
        <v>15099</v>
      </c>
    </row>
    <row r="23" spans="1:13" ht="153">
      <c r="A23" s="293" t="str">
        <f t="shared" si="1"/>
        <v>InstructionsA24</v>
      </c>
      <c r="B23" s="293" t="s">
        <v>542</v>
      </c>
      <c r="C23" s="293" t="s">
        <v>1213</v>
      </c>
      <c r="D23" s="295" t="s">
        <v>15311</v>
      </c>
      <c r="E23" s="295" t="s">
        <v>14490</v>
      </c>
      <c r="F23" s="347" t="s">
        <v>14599</v>
      </c>
      <c r="G23" s="295" t="s">
        <v>14783</v>
      </c>
      <c r="H23" s="295" t="s">
        <v>14857</v>
      </c>
      <c r="I23" s="295" t="s">
        <v>14914</v>
      </c>
      <c r="J23" s="295" t="s">
        <v>15310</v>
      </c>
      <c r="K23" s="295" t="s">
        <v>14973</v>
      </c>
      <c r="L23" s="295" t="s">
        <v>15033</v>
      </c>
      <c r="M23" s="295" t="s">
        <v>15100</v>
      </c>
    </row>
    <row r="24" spans="1:13" ht="127.5">
      <c r="A24" s="293" t="str">
        <f t="shared" si="1"/>
        <v>InstructionsA25</v>
      </c>
      <c r="B24" s="293" t="s">
        <v>542</v>
      </c>
      <c r="C24" s="293" t="s">
        <v>1214</v>
      </c>
      <c r="D24" s="295" t="s">
        <v>15313</v>
      </c>
      <c r="E24" s="295" t="s">
        <v>14491</v>
      </c>
      <c r="F24" s="347" t="s">
        <v>15480</v>
      </c>
      <c r="G24" s="295" t="s">
        <v>14784</v>
      </c>
      <c r="H24" s="295" t="s">
        <v>14858</v>
      </c>
      <c r="I24" s="295" t="s">
        <v>14915</v>
      </c>
      <c r="J24" s="295" t="s">
        <v>15312</v>
      </c>
      <c r="K24" s="295" t="s">
        <v>14974</v>
      </c>
      <c r="L24" s="295" t="s">
        <v>15034</v>
      </c>
      <c r="M24" s="295" t="s">
        <v>15101</v>
      </c>
    </row>
    <row r="25" spans="1:13" ht="409.5">
      <c r="A25" s="293" t="str">
        <f t="shared" si="1"/>
        <v>InstructionsA26</v>
      </c>
      <c r="B25" s="293" t="s">
        <v>542</v>
      </c>
      <c r="C25" s="293" t="s">
        <v>1215</v>
      </c>
      <c r="D25" s="295" t="s">
        <v>12732</v>
      </c>
      <c r="E25" s="329" t="s">
        <v>14492</v>
      </c>
      <c r="F25" s="341" t="s">
        <v>14600</v>
      </c>
      <c r="G25" s="290" t="s">
        <v>14785</v>
      </c>
      <c r="H25" s="302" t="s">
        <v>14859</v>
      </c>
      <c r="I25" s="302" t="s">
        <v>14916</v>
      </c>
      <c r="J25" s="302" t="s">
        <v>15279</v>
      </c>
      <c r="K25" s="303" t="s">
        <v>14975</v>
      </c>
      <c r="L25" s="304" t="s">
        <v>15035</v>
      </c>
      <c r="M25" s="290" t="s">
        <v>15102</v>
      </c>
    </row>
    <row r="26" spans="1:13" ht="57">
      <c r="A26" s="293" t="str">
        <f t="shared" si="1"/>
        <v>InstructionsA27</v>
      </c>
      <c r="B26" s="293" t="s">
        <v>542</v>
      </c>
      <c r="C26" s="293" t="s">
        <v>426</v>
      </c>
      <c r="D26" s="293" t="s">
        <v>427</v>
      </c>
      <c r="E26" s="328" t="s">
        <v>13645</v>
      </c>
      <c r="F26" s="346" t="s">
        <v>14601</v>
      </c>
      <c r="G26" s="293" t="s">
        <v>13631</v>
      </c>
      <c r="H26" s="293" t="s">
        <v>444</v>
      </c>
      <c r="I26" s="293" t="s">
        <v>296</v>
      </c>
      <c r="J26" s="293" t="s">
        <v>1362</v>
      </c>
      <c r="K26" s="287" t="s">
        <v>416</v>
      </c>
      <c r="L26" s="300" t="s">
        <v>16</v>
      </c>
      <c r="M26" s="293" t="s">
        <v>15103</v>
      </c>
    </row>
    <row r="27" spans="1:13" ht="409.5">
      <c r="A27" s="293" t="str">
        <f t="shared" si="1"/>
        <v>InstructionsA28</v>
      </c>
      <c r="B27" s="293" t="s">
        <v>542</v>
      </c>
      <c r="C27" s="293" t="s">
        <v>1016</v>
      </c>
      <c r="D27" s="295" t="s">
        <v>12745</v>
      </c>
      <c r="E27" s="329" t="s">
        <v>14493</v>
      </c>
      <c r="F27" s="341" t="s">
        <v>14602</v>
      </c>
      <c r="G27" s="302" t="s">
        <v>14786</v>
      </c>
      <c r="H27" s="302" t="s">
        <v>14860</v>
      </c>
      <c r="I27" s="302" t="s">
        <v>14917</v>
      </c>
      <c r="J27" s="302" t="s">
        <v>15280</v>
      </c>
      <c r="K27" s="303" t="s">
        <v>14976</v>
      </c>
      <c r="L27" s="304" t="s">
        <v>15036</v>
      </c>
      <c r="M27" s="290" t="s">
        <v>15104</v>
      </c>
    </row>
    <row r="28" spans="1:13" ht="348" customHeight="1">
      <c r="A28" s="293" t="str">
        <f t="shared" ref="A28" si="2">B28&amp;C28</f>
        <v>InstructionsA29</v>
      </c>
      <c r="B28" s="293" t="s">
        <v>542</v>
      </c>
      <c r="C28" s="293" t="s">
        <v>1216</v>
      </c>
      <c r="D28" s="295" t="s">
        <v>15315</v>
      </c>
      <c r="E28" s="295" t="s">
        <v>14494</v>
      </c>
      <c r="F28" s="347" t="s">
        <v>14603</v>
      </c>
      <c r="G28" s="295" t="s">
        <v>14784</v>
      </c>
      <c r="H28" s="295" t="s">
        <v>14861</v>
      </c>
      <c r="I28" s="295" t="s">
        <v>15436</v>
      </c>
      <c r="J28" s="295" t="s">
        <v>15314</v>
      </c>
      <c r="K28" s="295" t="s">
        <v>14977</v>
      </c>
      <c r="L28" s="295" t="s">
        <v>15037</v>
      </c>
      <c r="M28" s="295" t="s">
        <v>15105</v>
      </c>
    </row>
    <row r="29" spans="1:13" ht="234" customHeight="1">
      <c r="A29" s="293" t="str">
        <f t="shared" ref="A29:A47" si="3">B29&amp;C29</f>
        <v>InstructionsA30</v>
      </c>
      <c r="B29" s="293" t="s">
        <v>542</v>
      </c>
      <c r="C29" s="293" t="s">
        <v>1217</v>
      </c>
      <c r="D29" s="295" t="s">
        <v>14361</v>
      </c>
      <c r="E29" s="295" t="s">
        <v>14495</v>
      </c>
      <c r="F29" s="347" t="s">
        <v>14604</v>
      </c>
      <c r="G29" s="295" t="s">
        <v>14787</v>
      </c>
      <c r="H29" s="295" t="s">
        <v>14862</v>
      </c>
      <c r="I29" s="295" t="s">
        <v>15437</v>
      </c>
      <c r="J29" s="295" t="s">
        <v>15316</v>
      </c>
      <c r="K29" s="295" t="s">
        <v>14978</v>
      </c>
      <c r="L29" s="295" t="s">
        <v>15038</v>
      </c>
      <c r="M29" s="295" t="s">
        <v>15106</v>
      </c>
    </row>
    <row r="30" spans="1:13" ht="229.5">
      <c r="A30" s="293" t="str">
        <f t="shared" si="3"/>
        <v>InstructionsA31</v>
      </c>
      <c r="B30" s="293" t="s">
        <v>542</v>
      </c>
      <c r="C30" s="293" t="s">
        <v>1218</v>
      </c>
      <c r="D30" s="295" t="s">
        <v>14362</v>
      </c>
      <c r="E30" s="327" t="s">
        <v>14496</v>
      </c>
      <c r="F30" s="347" t="s">
        <v>14605</v>
      </c>
      <c r="G30" s="295" t="s">
        <v>14788</v>
      </c>
      <c r="H30" s="295" t="s">
        <v>14863</v>
      </c>
      <c r="I30" s="295" t="s">
        <v>14918</v>
      </c>
      <c r="J30" s="295" t="s">
        <v>14363</v>
      </c>
      <c r="K30" s="289" t="s">
        <v>14979</v>
      </c>
      <c r="L30" s="305" t="s">
        <v>15039</v>
      </c>
      <c r="M30" s="295" t="s">
        <v>15107</v>
      </c>
    </row>
    <row r="31" spans="1:13" ht="270">
      <c r="A31" s="293" t="str">
        <f t="shared" si="3"/>
        <v>InstructionsA32</v>
      </c>
      <c r="B31" s="293" t="s">
        <v>542</v>
      </c>
      <c r="C31" s="293" t="s">
        <v>1219</v>
      </c>
      <c r="D31" s="295" t="s">
        <v>14364</v>
      </c>
      <c r="E31" s="329" t="s">
        <v>14497</v>
      </c>
      <c r="F31" s="345" t="s">
        <v>14606</v>
      </c>
      <c r="G31" s="306" t="s">
        <v>14789</v>
      </c>
      <c r="H31" s="302" t="s">
        <v>14864</v>
      </c>
      <c r="I31" s="290" t="s">
        <v>14919</v>
      </c>
      <c r="J31" s="290" t="s">
        <v>14365</v>
      </c>
      <c r="K31" s="303" t="s">
        <v>14980</v>
      </c>
      <c r="L31" s="304" t="s">
        <v>15040</v>
      </c>
      <c r="M31" s="290" t="s">
        <v>15108</v>
      </c>
    </row>
    <row r="32" spans="1:13" ht="135">
      <c r="A32" s="293" t="str">
        <f t="shared" si="3"/>
        <v>InstructionsA33</v>
      </c>
      <c r="B32" s="293" t="s">
        <v>542</v>
      </c>
      <c r="C32" s="293" t="s">
        <v>1220</v>
      </c>
      <c r="D32" s="295" t="s">
        <v>14366</v>
      </c>
      <c r="E32" s="258" t="s">
        <v>14498</v>
      </c>
      <c r="F32" s="345" t="s">
        <v>14607</v>
      </c>
      <c r="G32" s="306" t="s">
        <v>14790</v>
      </c>
      <c r="H32" s="302" t="s">
        <v>14367</v>
      </c>
      <c r="I32" s="290" t="s">
        <v>14368</v>
      </c>
      <c r="J32" s="290" t="s">
        <v>14369</v>
      </c>
      <c r="K32" s="303" t="s">
        <v>14370</v>
      </c>
      <c r="L32" s="304" t="s">
        <v>15041</v>
      </c>
      <c r="M32" s="290" t="s">
        <v>14371</v>
      </c>
    </row>
    <row r="33" spans="1:13" ht="135">
      <c r="A33" s="293" t="str">
        <f t="shared" si="3"/>
        <v>InstructionsA34</v>
      </c>
      <c r="B33" s="293" t="s">
        <v>542</v>
      </c>
      <c r="C33" s="293" t="s">
        <v>1221</v>
      </c>
      <c r="D33" s="295" t="s">
        <v>14372</v>
      </c>
      <c r="E33" s="329" t="s">
        <v>14373</v>
      </c>
      <c r="F33" s="345" t="s">
        <v>14608</v>
      </c>
      <c r="G33" s="306" t="s">
        <v>14791</v>
      </c>
      <c r="H33" s="302" t="s">
        <v>14374</v>
      </c>
      <c r="I33" s="290" t="s">
        <v>14375</v>
      </c>
      <c r="J33" s="290" t="s">
        <v>14376</v>
      </c>
      <c r="K33" s="303" t="s">
        <v>14377</v>
      </c>
      <c r="L33" s="304" t="s">
        <v>14378</v>
      </c>
      <c r="M33" s="290" t="s">
        <v>14379</v>
      </c>
    </row>
    <row r="34" spans="1:13" ht="42.75">
      <c r="A34" s="293" t="str">
        <f t="shared" si="3"/>
        <v>InstructionsA35</v>
      </c>
      <c r="B34" s="293" t="s">
        <v>542</v>
      </c>
      <c r="C34" s="293" t="s">
        <v>14357</v>
      </c>
      <c r="D34" s="293" t="s">
        <v>1052</v>
      </c>
      <c r="E34" s="257" t="s">
        <v>13646</v>
      </c>
      <c r="F34" s="346" t="s">
        <v>14609</v>
      </c>
      <c r="G34" s="293" t="s">
        <v>966</v>
      </c>
      <c r="H34" s="293" t="s">
        <v>967</v>
      </c>
      <c r="I34" s="293" t="s">
        <v>297</v>
      </c>
      <c r="J34" s="293" t="s">
        <v>1068</v>
      </c>
      <c r="K34" s="253" t="s">
        <v>417</v>
      </c>
      <c r="L34" s="300" t="s">
        <v>1274</v>
      </c>
      <c r="M34" s="293" t="s">
        <v>15109</v>
      </c>
    </row>
    <row r="35" spans="1:13" ht="75">
      <c r="A35" s="293" t="str">
        <f t="shared" si="3"/>
        <v>InstructionsA37</v>
      </c>
      <c r="B35" s="293" t="s">
        <v>542</v>
      </c>
      <c r="C35" s="293" t="s">
        <v>1222</v>
      </c>
      <c r="D35" s="293" t="s">
        <v>14359</v>
      </c>
      <c r="E35" s="258" t="s">
        <v>14499</v>
      </c>
      <c r="F35" s="345" t="s">
        <v>14610</v>
      </c>
      <c r="G35" s="307" t="s">
        <v>14792</v>
      </c>
      <c r="H35" s="290" t="s">
        <v>14865</v>
      </c>
      <c r="I35" s="290" t="s">
        <v>14920</v>
      </c>
      <c r="J35" s="290" t="s">
        <v>14360</v>
      </c>
      <c r="K35" s="303" t="s">
        <v>14981</v>
      </c>
      <c r="L35" s="304" t="s">
        <v>15042</v>
      </c>
      <c r="M35" s="290" t="s">
        <v>15110</v>
      </c>
    </row>
    <row r="36" spans="1:13" ht="33.75" customHeight="1">
      <c r="A36" s="293" t="str">
        <f t="shared" si="3"/>
        <v>InstructionsA38</v>
      </c>
      <c r="B36" s="293" t="s">
        <v>542</v>
      </c>
      <c r="C36" s="293" t="s">
        <v>1223</v>
      </c>
      <c r="D36" s="293" t="s">
        <v>14380</v>
      </c>
      <c r="E36" s="257" t="s">
        <v>14381</v>
      </c>
      <c r="F36" s="346" t="s">
        <v>15481</v>
      </c>
      <c r="G36" s="293" t="s">
        <v>14793</v>
      </c>
      <c r="H36" s="293" t="s">
        <v>14382</v>
      </c>
      <c r="I36" s="293" t="s">
        <v>14383</v>
      </c>
      <c r="J36" s="293" t="s">
        <v>14384</v>
      </c>
      <c r="K36" s="287" t="s">
        <v>14385</v>
      </c>
      <c r="L36" s="300" t="s">
        <v>15043</v>
      </c>
      <c r="M36" s="293" t="s">
        <v>14386</v>
      </c>
    </row>
    <row r="37" spans="1:13" ht="114">
      <c r="A37" s="293" t="str">
        <f t="shared" si="3"/>
        <v>InstructionsA39</v>
      </c>
      <c r="B37" s="293" t="s">
        <v>542</v>
      </c>
      <c r="C37" s="293" t="s">
        <v>1224</v>
      </c>
      <c r="D37" s="293" t="s">
        <v>15282</v>
      </c>
      <c r="E37" s="293" t="s">
        <v>14500</v>
      </c>
      <c r="F37" s="346" t="s">
        <v>14611</v>
      </c>
      <c r="G37" s="293" t="s">
        <v>14794</v>
      </c>
      <c r="H37" s="293" t="s">
        <v>14866</v>
      </c>
      <c r="I37" s="293" t="s">
        <v>14921</v>
      </c>
      <c r="J37" s="293" t="s">
        <v>15281</v>
      </c>
      <c r="K37" s="293" t="s">
        <v>14982</v>
      </c>
      <c r="L37" s="293" t="s">
        <v>15044</v>
      </c>
      <c r="M37" s="293" t="s">
        <v>15111</v>
      </c>
    </row>
    <row r="38" spans="1:13" ht="128.25">
      <c r="A38" s="293" t="str">
        <f t="shared" si="3"/>
        <v>InstructionsA40</v>
      </c>
      <c r="B38" s="293" t="s">
        <v>542</v>
      </c>
      <c r="C38" s="293" t="s">
        <v>433</v>
      </c>
      <c r="D38" s="293" t="s">
        <v>15284</v>
      </c>
      <c r="E38" s="293" t="s">
        <v>14501</v>
      </c>
      <c r="F38" s="346" t="s">
        <v>14612</v>
      </c>
      <c r="G38" s="293" t="s">
        <v>14795</v>
      </c>
      <c r="H38" s="293" t="s">
        <v>14867</v>
      </c>
      <c r="I38" s="293" t="s">
        <v>14921</v>
      </c>
      <c r="J38" s="293" t="s">
        <v>15283</v>
      </c>
      <c r="K38" s="293" t="s">
        <v>14983</v>
      </c>
      <c r="L38" s="293" t="s">
        <v>15045</v>
      </c>
      <c r="M38" s="293" t="s">
        <v>15111</v>
      </c>
    </row>
    <row r="39" spans="1:13" ht="120">
      <c r="A39" s="293" t="str">
        <f t="shared" si="3"/>
        <v>InstructionsA41</v>
      </c>
      <c r="B39" s="293" t="s">
        <v>542</v>
      </c>
      <c r="C39" s="293" t="s">
        <v>1017</v>
      </c>
      <c r="D39" s="295" t="s">
        <v>14408</v>
      </c>
      <c r="E39" s="258" t="s">
        <v>14502</v>
      </c>
      <c r="F39" s="341" t="s">
        <v>14613</v>
      </c>
      <c r="G39" s="290" t="s">
        <v>14796</v>
      </c>
      <c r="H39" s="290" t="s">
        <v>14868</v>
      </c>
      <c r="I39" s="290" t="s">
        <v>14922</v>
      </c>
      <c r="J39" s="290" t="s">
        <v>14391</v>
      </c>
      <c r="K39" s="303" t="s">
        <v>14984</v>
      </c>
      <c r="L39" s="304" t="s">
        <v>15046</v>
      </c>
      <c r="M39" s="290" t="s">
        <v>15112</v>
      </c>
    </row>
    <row r="40" spans="1:13" ht="409.5">
      <c r="A40" s="293" t="str">
        <f t="shared" si="3"/>
        <v>InstructionsA42</v>
      </c>
      <c r="B40" s="293" t="s">
        <v>542</v>
      </c>
      <c r="C40" s="293" t="s">
        <v>1225</v>
      </c>
      <c r="D40" s="293" t="s">
        <v>15452</v>
      </c>
      <c r="E40" s="293" t="s">
        <v>14503</v>
      </c>
      <c r="F40" s="346" t="s">
        <v>15451</v>
      </c>
      <c r="G40" s="293" t="s">
        <v>15453</v>
      </c>
      <c r="H40" s="293" t="s">
        <v>15454</v>
      </c>
      <c r="I40" s="293" t="s">
        <v>15459</v>
      </c>
      <c r="J40" s="293" t="s">
        <v>15458</v>
      </c>
      <c r="K40" s="293" t="s">
        <v>15455</v>
      </c>
      <c r="L40" s="293" t="s">
        <v>15457</v>
      </c>
      <c r="M40" s="293" t="s">
        <v>15456</v>
      </c>
    </row>
    <row r="41" spans="1:13" ht="240">
      <c r="A41" s="293" t="str">
        <f t="shared" si="3"/>
        <v>InstructionsA43</v>
      </c>
      <c r="B41" s="293" t="s">
        <v>542</v>
      </c>
      <c r="C41" s="293" t="s">
        <v>1226</v>
      </c>
      <c r="D41" s="295" t="s">
        <v>14392</v>
      </c>
      <c r="E41" s="329" t="s">
        <v>14504</v>
      </c>
      <c r="F41" s="341" t="s">
        <v>14614</v>
      </c>
      <c r="G41" s="290" t="s">
        <v>14797</v>
      </c>
      <c r="H41" s="302" t="s">
        <v>14869</v>
      </c>
      <c r="I41" s="290" t="s">
        <v>14923</v>
      </c>
      <c r="J41" s="290" t="s">
        <v>14393</v>
      </c>
      <c r="K41" s="303" t="s">
        <v>14985</v>
      </c>
      <c r="L41" s="304" t="s">
        <v>15047</v>
      </c>
      <c r="M41" s="290" t="s">
        <v>15113</v>
      </c>
    </row>
    <row r="42" spans="1:13" ht="225">
      <c r="A42" s="293" t="str">
        <f t="shared" si="3"/>
        <v>InstructionsA44</v>
      </c>
      <c r="B42" s="293" t="s">
        <v>542</v>
      </c>
      <c r="C42" s="293" t="s">
        <v>1227</v>
      </c>
      <c r="D42" s="293" t="s">
        <v>14394</v>
      </c>
      <c r="E42" s="329" t="s">
        <v>14505</v>
      </c>
      <c r="F42" s="341" t="s">
        <v>14615</v>
      </c>
      <c r="G42" s="290" t="s">
        <v>14798</v>
      </c>
      <c r="H42" s="302" t="s">
        <v>14870</v>
      </c>
      <c r="I42" s="290" t="s">
        <v>14924</v>
      </c>
      <c r="J42" s="290" t="s">
        <v>14395</v>
      </c>
      <c r="K42" s="303" t="s">
        <v>14986</v>
      </c>
      <c r="L42" s="304" t="s">
        <v>15048</v>
      </c>
      <c r="M42" s="290" t="s">
        <v>15114</v>
      </c>
    </row>
    <row r="43" spans="1:13" ht="120">
      <c r="A43" s="293" t="str">
        <f t="shared" si="3"/>
        <v>InstructionsA45</v>
      </c>
      <c r="B43" s="293" t="s">
        <v>542</v>
      </c>
      <c r="C43" s="293" t="s">
        <v>1228</v>
      </c>
      <c r="D43" s="293" t="s">
        <v>14396</v>
      </c>
      <c r="E43" s="329" t="s">
        <v>14397</v>
      </c>
      <c r="F43" s="341" t="s">
        <v>14616</v>
      </c>
      <c r="G43" s="290" t="s">
        <v>14799</v>
      </c>
      <c r="H43" s="290" t="s">
        <v>14871</v>
      </c>
      <c r="I43" s="290" t="s">
        <v>14925</v>
      </c>
      <c r="J43" s="290" t="s">
        <v>14398</v>
      </c>
      <c r="K43" s="303" t="s">
        <v>14987</v>
      </c>
      <c r="L43" s="304" t="s">
        <v>15049</v>
      </c>
      <c r="M43" s="290" t="s">
        <v>15115</v>
      </c>
    </row>
    <row r="44" spans="1:13" ht="139.5" customHeight="1">
      <c r="A44" s="293" t="str">
        <f t="shared" si="3"/>
        <v>InstructionsA46</v>
      </c>
      <c r="B44" s="293" t="s">
        <v>542</v>
      </c>
      <c r="C44" s="293" t="s">
        <v>1229</v>
      </c>
      <c r="D44" s="293" t="s">
        <v>15286</v>
      </c>
      <c r="E44" s="293" t="s">
        <v>14506</v>
      </c>
      <c r="F44" s="346" t="s">
        <v>14617</v>
      </c>
      <c r="G44" s="293" t="s">
        <v>14800</v>
      </c>
      <c r="H44" s="293" t="s">
        <v>14872</v>
      </c>
      <c r="I44" s="293" t="s">
        <v>14926</v>
      </c>
      <c r="J44" s="293" t="s">
        <v>15285</v>
      </c>
      <c r="K44" s="293" t="s">
        <v>14988</v>
      </c>
      <c r="L44" s="293" t="s">
        <v>15050</v>
      </c>
      <c r="M44" s="293" t="s">
        <v>15116</v>
      </c>
    </row>
    <row r="45" spans="1:13" ht="42.75">
      <c r="A45" s="293" t="str">
        <f t="shared" si="3"/>
        <v>InstructionsA48</v>
      </c>
      <c r="B45" s="293" t="s">
        <v>542</v>
      </c>
      <c r="C45" s="293" t="s">
        <v>2630</v>
      </c>
      <c r="D45" s="293" t="s">
        <v>1041</v>
      </c>
      <c r="E45" s="257" t="s">
        <v>13647</v>
      </c>
      <c r="F45" s="346" t="s">
        <v>14618</v>
      </c>
      <c r="G45" s="293" t="s">
        <v>14801</v>
      </c>
      <c r="H45" s="293" t="s">
        <v>14873</v>
      </c>
      <c r="I45" s="293" t="s">
        <v>14927</v>
      </c>
      <c r="J45" s="293" t="s">
        <v>1363</v>
      </c>
      <c r="K45" s="287" t="s">
        <v>14989</v>
      </c>
      <c r="L45" s="300" t="s">
        <v>15051</v>
      </c>
      <c r="M45" s="293" t="s">
        <v>15117</v>
      </c>
    </row>
    <row r="46" spans="1:13" ht="28.5">
      <c r="A46" s="293" t="str">
        <f t="shared" si="3"/>
        <v>InstructionsA49</v>
      </c>
      <c r="B46" s="293" t="s">
        <v>542</v>
      </c>
      <c r="C46" s="293" t="s">
        <v>1230</v>
      </c>
      <c r="D46" s="293" t="s">
        <v>878</v>
      </c>
      <c r="E46" s="257" t="s">
        <v>13648</v>
      </c>
      <c r="F46" s="346" t="s">
        <v>14619</v>
      </c>
      <c r="G46" s="293" t="s">
        <v>1194</v>
      </c>
      <c r="H46" s="293" t="s">
        <v>445</v>
      </c>
      <c r="I46" s="293" t="s">
        <v>298</v>
      </c>
      <c r="J46" s="293" t="s">
        <v>1199</v>
      </c>
      <c r="K46" s="287" t="s">
        <v>193</v>
      </c>
      <c r="L46" s="300" t="s">
        <v>608</v>
      </c>
      <c r="M46" s="293" t="s">
        <v>15118</v>
      </c>
    </row>
    <row r="47" spans="1:13" ht="105">
      <c r="A47" s="293" t="str">
        <f t="shared" si="3"/>
        <v>InstructionsA50</v>
      </c>
      <c r="B47" s="293" t="s">
        <v>542</v>
      </c>
      <c r="C47" s="293" t="s">
        <v>1231</v>
      </c>
      <c r="D47" s="293" t="s">
        <v>12752</v>
      </c>
      <c r="E47" s="329" t="s">
        <v>14507</v>
      </c>
      <c r="F47" s="341" t="s">
        <v>14620</v>
      </c>
      <c r="G47" s="290" t="s">
        <v>14802</v>
      </c>
      <c r="H47" s="302" t="s">
        <v>14874</v>
      </c>
      <c r="I47" s="302" t="s">
        <v>14928</v>
      </c>
      <c r="J47" s="302" t="s">
        <v>15287</v>
      </c>
      <c r="K47" s="303" t="s">
        <v>14990</v>
      </c>
      <c r="L47" s="304" t="s">
        <v>15052</v>
      </c>
      <c r="M47" s="302" t="s">
        <v>15119</v>
      </c>
    </row>
    <row r="48" spans="1:13" ht="85.5">
      <c r="A48" s="244" t="s">
        <v>14389</v>
      </c>
      <c r="B48" s="244" t="s">
        <v>542</v>
      </c>
      <c r="C48" s="293" t="s">
        <v>1232</v>
      </c>
      <c r="D48" s="244" t="s">
        <v>13049</v>
      </c>
      <c r="E48" s="328" t="s">
        <v>13649</v>
      </c>
      <c r="F48" s="346" t="s">
        <v>14621</v>
      </c>
      <c r="G48" s="173" t="s">
        <v>14803</v>
      </c>
      <c r="H48" s="293" t="s">
        <v>13050</v>
      </c>
      <c r="I48" s="293" t="s">
        <v>13824</v>
      </c>
      <c r="J48" s="293" t="s">
        <v>13051</v>
      </c>
      <c r="K48" s="296" t="s">
        <v>13621</v>
      </c>
      <c r="L48" s="308" t="s">
        <v>13783</v>
      </c>
      <c r="M48" s="293" t="s">
        <v>13768</v>
      </c>
    </row>
    <row r="49" spans="1:13" ht="57">
      <c r="A49" s="293" t="str">
        <f t="shared" ref="A49:A74" si="4">B49&amp;C49</f>
        <v>InstructionsA52</v>
      </c>
      <c r="B49" s="293" t="s">
        <v>542</v>
      </c>
      <c r="C49" s="293" t="s">
        <v>1233</v>
      </c>
      <c r="D49" s="293" t="s">
        <v>2497</v>
      </c>
      <c r="E49" s="328" t="s">
        <v>15387</v>
      </c>
      <c r="F49" s="346" t="s">
        <v>14622</v>
      </c>
      <c r="G49" s="293" t="s">
        <v>2504</v>
      </c>
      <c r="H49" s="293" t="s">
        <v>2505</v>
      </c>
      <c r="I49" s="293" t="s">
        <v>14929</v>
      </c>
      <c r="J49" s="293" t="s">
        <v>2506</v>
      </c>
      <c r="K49" s="287" t="s">
        <v>14991</v>
      </c>
      <c r="L49" s="300" t="s">
        <v>2507</v>
      </c>
      <c r="M49" s="293" t="s">
        <v>2508</v>
      </c>
    </row>
    <row r="50" spans="1:13" ht="156.75">
      <c r="A50" s="293" t="str">
        <f t="shared" si="4"/>
        <v>InstructionsA53</v>
      </c>
      <c r="B50" s="293" t="s">
        <v>542</v>
      </c>
      <c r="C50" s="293" t="s">
        <v>1234</v>
      </c>
      <c r="D50" s="293" t="s">
        <v>12751</v>
      </c>
      <c r="E50" s="329" t="s">
        <v>13650</v>
      </c>
      <c r="F50" s="341" t="s">
        <v>14623</v>
      </c>
      <c r="G50" s="302" t="s">
        <v>14804</v>
      </c>
      <c r="H50" s="302" t="s">
        <v>12763</v>
      </c>
      <c r="I50" s="302" t="s">
        <v>14930</v>
      </c>
      <c r="J50" s="302" t="s">
        <v>15288</v>
      </c>
      <c r="K50" s="303" t="s">
        <v>14992</v>
      </c>
      <c r="L50" s="304" t="s">
        <v>13784</v>
      </c>
      <c r="M50" s="302" t="s">
        <v>15120</v>
      </c>
    </row>
    <row r="51" spans="1:13" ht="85.5">
      <c r="A51" s="293" t="str">
        <f t="shared" si="4"/>
        <v>InstructionsA54</v>
      </c>
      <c r="B51" s="293" t="s">
        <v>542</v>
      </c>
      <c r="C51" s="293" t="s">
        <v>1235</v>
      </c>
      <c r="D51" s="293" t="s">
        <v>13239</v>
      </c>
      <c r="E51" s="328" t="s">
        <v>13651</v>
      </c>
      <c r="F51" s="346" t="s">
        <v>14624</v>
      </c>
      <c r="G51" s="293" t="s">
        <v>13240</v>
      </c>
      <c r="H51" s="293" t="s">
        <v>13241</v>
      </c>
      <c r="I51" s="293" t="s">
        <v>13242</v>
      </c>
      <c r="J51" s="293" t="s">
        <v>13243</v>
      </c>
      <c r="K51" s="287" t="s">
        <v>13244</v>
      </c>
      <c r="L51" s="300" t="s">
        <v>13245</v>
      </c>
      <c r="M51" s="293" t="s">
        <v>13246</v>
      </c>
    </row>
    <row r="52" spans="1:13" ht="99.75">
      <c r="A52" s="293" t="str">
        <f t="shared" si="4"/>
        <v>InstructionsA55</v>
      </c>
      <c r="B52" s="293" t="s">
        <v>542</v>
      </c>
      <c r="C52" s="293" t="s">
        <v>1236</v>
      </c>
      <c r="D52" s="293" t="s">
        <v>2498</v>
      </c>
      <c r="E52" s="293" t="s">
        <v>14508</v>
      </c>
      <c r="F52" s="346" t="s">
        <v>14625</v>
      </c>
      <c r="G52" s="293" t="s">
        <v>2509</v>
      </c>
      <c r="H52" s="293" t="s">
        <v>2510</v>
      </c>
      <c r="I52" s="293" t="s">
        <v>2511</v>
      </c>
      <c r="J52" s="293" t="s">
        <v>2512</v>
      </c>
      <c r="K52" s="287" t="s">
        <v>2513</v>
      </c>
      <c r="L52" s="300" t="s">
        <v>15053</v>
      </c>
      <c r="M52" s="293" t="s">
        <v>2514</v>
      </c>
    </row>
    <row r="53" spans="1:13" ht="128.25">
      <c r="A53" s="293" t="str">
        <f t="shared" si="4"/>
        <v>InstructionsA56</v>
      </c>
      <c r="B53" s="293" t="s">
        <v>542</v>
      </c>
      <c r="C53" s="293" t="s">
        <v>1237</v>
      </c>
      <c r="D53" s="293" t="s">
        <v>2499</v>
      </c>
      <c r="E53" s="293" t="s">
        <v>14509</v>
      </c>
      <c r="F53" s="346" t="s">
        <v>14626</v>
      </c>
      <c r="G53" s="293" t="s">
        <v>2515</v>
      </c>
      <c r="H53" s="293" t="s">
        <v>2516</v>
      </c>
      <c r="I53" s="293" t="s">
        <v>2517</v>
      </c>
      <c r="J53" s="293" t="s">
        <v>2518</v>
      </c>
      <c r="K53" s="287" t="s">
        <v>2519</v>
      </c>
      <c r="L53" s="300" t="s">
        <v>2520</v>
      </c>
      <c r="M53" s="293" t="s">
        <v>2521</v>
      </c>
    </row>
    <row r="54" spans="1:13" ht="85.5">
      <c r="A54" s="293" t="str">
        <f t="shared" si="4"/>
        <v>InstructionsA57</v>
      </c>
      <c r="B54" s="293" t="s">
        <v>542</v>
      </c>
      <c r="C54" s="293" t="s">
        <v>434</v>
      </c>
      <c r="D54" s="293" t="s">
        <v>2500</v>
      </c>
      <c r="E54" s="293" t="s">
        <v>14510</v>
      </c>
      <c r="F54" s="346" t="s">
        <v>14627</v>
      </c>
      <c r="G54" s="293" t="s">
        <v>2522</v>
      </c>
      <c r="H54" s="293" t="s">
        <v>2523</v>
      </c>
      <c r="I54" s="293" t="s">
        <v>2524</v>
      </c>
      <c r="J54" s="293" t="s">
        <v>2525</v>
      </c>
      <c r="K54" s="287" t="s">
        <v>2526</v>
      </c>
      <c r="L54" s="300" t="s">
        <v>2527</v>
      </c>
      <c r="M54" s="293" t="s">
        <v>2528</v>
      </c>
    </row>
    <row r="55" spans="1:13" ht="45">
      <c r="A55" s="293" t="str">
        <f t="shared" si="4"/>
        <v>InstructionsA58</v>
      </c>
      <c r="B55" s="293" t="s">
        <v>542</v>
      </c>
      <c r="C55" s="293" t="s">
        <v>1238</v>
      </c>
      <c r="D55" s="295" t="s">
        <v>2501</v>
      </c>
      <c r="E55" s="295" t="s">
        <v>14511</v>
      </c>
      <c r="F55" s="347" t="s">
        <v>14628</v>
      </c>
      <c r="G55" s="295" t="s">
        <v>2529</v>
      </c>
      <c r="H55" s="295" t="s">
        <v>2530</v>
      </c>
      <c r="I55" s="295" t="s">
        <v>2531</v>
      </c>
      <c r="J55" s="295" t="s">
        <v>2532</v>
      </c>
      <c r="K55" s="289" t="s">
        <v>2533</v>
      </c>
      <c r="L55" s="301" t="s">
        <v>2534</v>
      </c>
      <c r="M55" s="295" t="s">
        <v>2535</v>
      </c>
    </row>
    <row r="56" spans="1:13" ht="45">
      <c r="A56" s="293" t="str">
        <f t="shared" si="4"/>
        <v>InstructionsA59</v>
      </c>
      <c r="B56" s="293" t="s">
        <v>542</v>
      </c>
      <c r="C56" s="293" t="s">
        <v>1239</v>
      </c>
      <c r="D56" s="295" t="s">
        <v>2502</v>
      </c>
      <c r="E56" s="295" t="s">
        <v>14512</v>
      </c>
      <c r="F56" s="347" t="s">
        <v>14629</v>
      </c>
      <c r="G56" s="295" t="s">
        <v>2536</v>
      </c>
      <c r="H56" s="295" t="s">
        <v>2537</v>
      </c>
      <c r="I56" s="295" t="s">
        <v>2538</v>
      </c>
      <c r="J56" s="295" t="s">
        <v>2539</v>
      </c>
      <c r="K56" s="289" t="s">
        <v>2540</v>
      </c>
      <c r="L56" s="301" t="s">
        <v>2541</v>
      </c>
      <c r="M56" s="295" t="s">
        <v>2542</v>
      </c>
    </row>
    <row r="57" spans="1:13" ht="51">
      <c r="A57" s="293" t="str">
        <f t="shared" si="4"/>
        <v>InstructionsA60</v>
      </c>
      <c r="B57" s="293" t="s">
        <v>542</v>
      </c>
      <c r="C57" s="293" t="s">
        <v>1240</v>
      </c>
      <c r="D57" s="295" t="s">
        <v>14390</v>
      </c>
      <c r="E57" s="295" t="s">
        <v>14513</v>
      </c>
      <c r="F57" s="347" t="s">
        <v>14630</v>
      </c>
      <c r="G57" s="295" t="s">
        <v>2543</v>
      </c>
      <c r="H57" s="295" t="s">
        <v>2544</v>
      </c>
      <c r="I57" s="295" t="s">
        <v>2545</v>
      </c>
      <c r="J57" s="295" t="s">
        <v>2546</v>
      </c>
      <c r="K57" s="289" t="s">
        <v>2547</v>
      </c>
      <c r="L57" s="301" t="s">
        <v>2548</v>
      </c>
      <c r="M57" s="295" t="s">
        <v>2549</v>
      </c>
    </row>
    <row r="58" spans="1:13" ht="399">
      <c r="A58" s="293" t="str">
        <f t="shared" si="4"/>
        <v>InstructionsA61</v>
      </c>
      <c r="B58" s="293" t="s">
        <v>542</v>
      </c>
      <c r="C58" s="293" t="s">
        <v>1241</v>
      </c>
      <c r="D58" s="293" t="s">
        <v>13488</v>
      </c>
      <c r="E58" s="293" t="s">
        <v>14514</v>
      </c>
      <c r="F58" s="346" t="s">
        <v>15482</v>
      </c>
      <c r="G58" s="206" t="s">
        <v>14805</v>
      </c>
      <c r="H58" s="293" t="s">
        <v>14875</v>
      </c>
      <c r="I58" s="293" t="s">
        <v>14931</v>
      </c>
      <c r="J58" s="293" t="s">
        <v>2550</v>
      </c>
      <c r="K58" s="287" t="s">
        <v>14993</v>
      </c>
      <c r="L58" s="300" t="s">
        <v>15054</v>
      </c>
      <c r="M58" s="293" t="s">
        <v>15121</v>
      </c>
    </row>
    <row r="59" spans="1:13" ht="99.75">
      <c r="A59" s="293" t="str">
        <f t="shared" si="4"/>
        <v>InstructionsA62</v>
      </c>
      <c r="B59" s="293" t="s">
        <v>542</v>
      </c>
      <c r="C59" s="293" t="s">
        <v>1242</v>
      </c>
      <c r="D59" s="293" t="s">
        <v>2503</v>
      </c>
      <c r="E59" s="293" t="s">
        <v>14515</v>
      </c>
      <c r="F59" s="346" t="s">
        <v>14631</v>
      </c>
      <c r="G59" s="293" t="s">
        <v>2551</v>
      </c>
      <c r="H59" s="293" t="s">
        <v>2552</v>
      </c>
      <c r="I59" s="293" t="s">
        <v>2553</v>
      </c>
      <c r="J59" s="293" t="s">
        <v>2554</v>
      </c>
      <c r="K59" s="287" t="s">
        <v>2555</v>
      </c>
      <c r="L59" s="300" t="s">
        <v>2556</v>
      </c>
      <c r="M59" s="293" t="s">
        <v>2557</v>
      </c>
    </row>
    <row r="60" spans="1:13" ht="199.5">
      <c r="A60" s="293" t="str">
        <f t="shared" si="4"/>
        <v>InstructionsA63</v>
      </c>
      <c r="B60" s="293" t="s">
        <v>542</v>
      </c>
      <c r="C60" s="293" t="s">
        <v>1243</v>
      </c>
      <c r="D60" s="293" t="s">
        <v>13491</v>
      </c>
      <c r="E60" s="293" t="s">
        <v>14516</v>
      </c>
      <c r="F60" s="346" t="s">
        <v>14632</v>
      </c>
      <c r="G60" s="293" t="s">
        <v>14806</v>
      </c>
      <c r="H60" s="293" t="s">
        <v>14876</v>
      </c>
      <c r="I60" s="293" t="s">
        <v>15438</v>
      </c>
      <c r="J60" s="293" t="s">
        <v>13806</v>
      </c>
      <c r="K60" s="287" t="s">
        <v>14994</v>
      </c>
      <c r="L60" s="300" t="s">
        <v>15055</v>
      </c>
      <c r="M60" s="293" t="s">
        <v>15122</v>
      </c>
    </row>
    <row r="61" spans="1:13" ht="228">
      <c r="A61" s="293" t="str">
        <f t="shared" si="4"/>
        <v>InstructionsA64</v>
      </c>
      <c r="B61" s="293" t="s">
        <v>542</v>
      </c>
      <c r="C61" s="293" t="s">
        <v>1244</v>
      </c>
      <c r="D61" s="293" t="s">
        <v>13492</v>
      </c>
      <c r="E61" s="293" t="s">
        <v>14517</v>
      </c>
      <c r="F61" s="346" t="s">
        <v>14633</v>
      </c>
      <c r="G61" s="293" t="s">
        <v>14807</v>
      </c>
      <c r="H61" s="293" t="s">
        <v>14877</v>
      </c>
      <c r="I61" s="293" t="s">
        <v>15439</v>
      </c>
      <c r="J61" s="293" t="s">
        <v>13807</v>
      </c>
      <c r="K61" s="287" t="s">
        <v>14995</v>
      </c>
      <c r="L61" s="300" t="s">
        <v>15056</v>
      </c>
      <c r="M61" s="293" t="s">
        <v>15123</v>
      </c>
    </row>
    <row r="62" spans="1:13" ht="128.25">
      <c r="A62" s="293" t="str">
        <f t="shared" si="4"/>
        <v>InstructionsA65</v>
      </c>
      <c r="B62" s="293" t="s">
        <v>542</v>
      </c>
      <c r="C62" s="293" t="s">
        <v>654</v>
      </c>
      <c r="D62" s="293" t="s">
        <v>12733</v>
      </c>
      <c r="E62" s="293" t="s">
        <v>14518</v>
      </c>
      <c r="F62" s="341" t="s">
        <v>14634</v>
      </c>
      <c r="G62" s="302" t="s">
        <v>14808</v>
      </c>
      <c r="H62" s="302" t="s">
        <v>14878</v>
      </c>
      <c r="I62" s="302" t="s">
        <v>14932</v>
      </c>
      <c r="J62" s="302" t="s">
        <v>15289</v>
      </c>
      <c r="K62" s="303" t="s">
        <v>14996</v>
      </c>
      <c r="L62" s="304" t="s">
        <v>15057</v>
      </c>
      <c r="M62" s="302" t="s">
        <v>15124</v>
      </c>
    </row>
    <row r="63" spans="1:13" ht="57">
      <c r="A63" s="293" t="str">
        <f t="shared" si="4"/>
        <v>InstructionsA66</v>
      </c>
      <c r="B63" s="293" t="s">
        <v>542</v>
      </c>
      <c r="C63" s="293" t="s">
        <v>655</v>
      </c>
      <c r="D63" s="293" t="s">
        <v>656</v>
      </c>
      <c r="E63" s="293" t="s">
        <v>15386</v>
      </c>
      <c r="F63" s="346" t="s">
        <v>14635</v>
      </c>
      <c r="G63" s="293" t="s">
        <v>658</v>
      </c>
      <c r="H63" s="293" t="s">
        <v>343</v>
      </c>
      <c r="I63" s="293" t="s">
        <v>78</v>
      </c>
      <c r="J63" s="293" t="s">
        <v>659</v>
      </c>
      <c r="K63" s="287" t="s">
        <v>194</v>
      </c>
      <c r="L63" s="300" t="s">
        <v>660</v>
      </c>
      <c r="M63" s="293" t="s">
        <v>15125</v>
      </c>
    </row>
    <row r="64" spans="1:13" ht="213.75">
      <c r="A64" s="293" t="str">
        <f t="shared" si="4"/>
        <v>InstructionsA67</v>
      </c>
      <c r="B64" s="293" t="s">
        <v>542</v>
      </c>
      <c r="C64" s="293" t="s">
        <v>657</v>
      </c>
      <c r="D64" s="293" t="s">
        <v>664</v>
      </c>
      <c r="E64" s="293" t="s">
        <v>14519</v>
      </c>
      <c r="F64" s="346" t="s">
        <v>14636</v>
      </c>
      <c r="G64" s="293" t="s">
        <v>14809</v>
      </c>
      <c r="H64" s="173" t="s">
        <v>14879</v>
      </c>
      <c r="I64" s="293" t="s">
        <v>14933</v>
      </c>
      <c r="J64" s="293" t="s">
        <v>1386</v>
      </c>
      <c r="K64" s="287" t="s">
        <v>14997</v>
      </c>
      <c r="L64" s="300" t="s">
        <v>15058</v>
      </c>
      <c r="M64" s="293" t="s">
        <v>15126</v>
      </c>
    </row>
    <row r="65" spans="1:15" ht="42.75">
      <c r="A65" s="293" t="str">
        <f t="shared" si="4"/>
        <v>InstructionsA68</v>
      </c>
      <c r="B65" s="293" t="s">
        <v>542</v>
      </c>
      <c r="C65" s="293" t="s">
        <v>2631</v>
      </c>
      <c r="D65" s="293" t="s">
        <v>939</v>
      </c>
      <c r="E65" s="288" t="s">
        <v>13652</v>
      </c>
      <c r="F65" s="346" t="s">
        <v>14637</v>
      </c>
      <c r="G65" s="293" t="s">
        <v>1049</v>
      </c>
      <c r="H65" s="173" t="s">
        <v>344</v>
      </c>
      <c r="I65" s="293" t="s">
        <v>1195</v>
      </c>
      <c r="J65" s="293" t="s">
        <v>1196</v>
      </c>
      <c r="K65" s="287"/>
      <c r="L65" s="300" t="s">
        <v>1279</v>
      </c>
      <c r="M65" s="293" t="s">
        <v>15127</v>
      </c>
    </row>
    <row r="66" spans="1:15" ht="356.25">
      <c r="A66" s="293" t="str">
        <f t="shared" si="4"/>
        <v>InstructionsA69</v>
      </c>
      <c r="B66" s="293" t="s">
        <v>542</v>
      </c>
      <c r="C66" s="293" t="s">
        <v>661</v>
      </c>
      <c r="D66" s="293" t="s">
        <v>13496</v>
      </c>
      <c r="E66" s="328" t="s">
        <v>13653</v>
      </c>
      <c r="F66" s="346" t="s">
        <v>14638</v>
      </c>
      <c r="G66" s="260" t="s">
        <v>13839</v>
      </c>
      <c r="H66" s="173" t="s">
        <v>13777</v>
      </c>
      <c r="I66" s="293" t="s">
        <v>14934</v>
      </c>
      <c r="J66" s="293" t="s">
        <v>13808</v>
      </c>
      <c r="K66" s="287" t="s">
        <v>13622</v>
      </c>
      <c r="L66" s="300" t="s">
        <v>13785</v>
      </c>
      <c r="M66" s="293" t="s">
        <v>13769</v>
      </c>
    </row>
    <row r="67" spans="1:15" ht="185.25">
      <c r="A67" s="293" t="str">
        <f t="shared" si="4"/>
        <v>InstructionsA70</v>
      </c>
      <c r="B67" s="293" t="s">
        <v>542</v>
      </c>
      <c r="C67" s="293" t="s">
        <v>2632</v>
      </c>
      <c r="D67" s="293" t="s">
        <v>13493</v>
      </c>
      <c r="E67" s="328" t="s">
        <v>14520</v>
      </c>
      <c r="F67" s="346" t="s">
        <v>14639</v>
      </c>
      <c r="G67" s="293" t="s">
        <v>14810</v>
      </c>
      <c r="H67" s="173" t="s">
        <v>13778</v>
      </c>
      <c r="I67" s="293" t="s">
        <v>13825</v>
      </c>
      <c r="J67" s="293" t="s">
        <v>13809</v>
      </c>
      <c r="K67" s="287" t="s">
        <v>13623</v>
      </c>
      <c r="L67" s="300" t="s">
        <v>13786</v>
      </c>
      <c r="M67" s="293" t="s">
        <v>13770</v>
      </c>
    </row>
    <row r="68" spans="1:15" ht="171">
      <c r="A68" s="293" t="str">
        <f t="shared" si="4"/>
        <v>InstructionsA71</v>
      </c>
      <c r="B68" s="293" t="s">
        <v>542</v>
      </c>
      <c r="C68" s="293" t="s">
        <v>662</v>
      </c>
      <c r="D68" s="293" t="s">
        <v>13494</v>
      </c>
      <c r="E68" s="328" t="s">
        <v>14521</v>
      </c>
      <c r="F68" s="346" t="s">
        <v>14640</v>
      </c>
      <c r="G68" s="260" t="s">
        <v>13840</v>
      </c>
      <c r="H68" s="173" t="s">
        <v>13779</v>
      </c>
      <c r="I68" s="293" t="s">
        <v>13826</v>
      </c>
      <c r="J68" s="293" t="s">
        <v>13810</v>
      </c>
      <c r="K68" s="287" t="s">
        <v>13624</v>
      </c>
      <c r="L68" s="300" t="s">
        <v>13787</v>
      </c>
      <c r="M68" s="293" t="s">
        <v>13771</v>
      </c>
    </row>
    <row r="69" spans="1:15" ht="342">
      <c r="A69" s="293" t="str">
        <f t="shared" si="4"/>
        <v>InstructionsA72</v>
      </c>
      <c r="B69" s="293" t="s">
        <v>542</v>
      </c>
      <c r="C69" s="293" t="s">
        <v>663</v>
      </c>
      <c r="D69" s="293" t="s">
        <v>13495</v>
      </c>
      <c r="E69" s="328" t="s">
        <v>14522</v>
      </c>
      <c r="F69" s="346" t="s">
        <v>14641</v>
      </c>
      <c r="G69" s="293" t="s">
        <v>14811</v>
      </c>
      <c r="H69" s="173" t="s">
        <v>13780</v>
      </c>
      <c r="I69" s="293" t="s">
        <v>13827</v>
      </c>
      <c r="J69" s="293" t="s">
        <v>13811</v>
      </c>
      <c r="K69" s="287" t="s">
        <v>13625</v>
      </c>
      <c r="L69" s="300" t="s">
        <v>13788</v>
      </c>
      <c r="M69" s="293" t="s">
        <v>13772</v>
      </c>
    </row>
    <row r="70" spans="1:15" ht="114">
      <c r="A70" s="293" t="str">
        <f t="shared" si="4"/>
        <v>InstructionsA73</v>
      </c>
      <c r="B70" s="293" t="s">
        <v>542</v>
      </c>
      <c r="C70" s="293" t="s">
        <v>2693</v>
      </c>
      <c r="D70" s="293" t="s">
        <v>959</v>
      </c>
      <c r="E70" s="328" t="s">
        <v>13654</v>
      </c>
      <c r="F70" s="346" t="s">
        <v>14642</v>
      </c>
      <c r="G70" s="293" t="s">
        <v>849</v>
      </c>
      <c r="H70" s="173" t="s">
        <v>139</v>
      </c>
      <c r="I70" s="293" t="s">
        <v>79</v>
      </c>
      <c r="J70" s="293" t="s">
        <v>1387</v>
      </c>
      <c r="K70" s="287" t="s">
        <v>1146</v>
      </c>
      <c r="L70" s="300" t="s">
        <v>1280</v>
      </c>
      <c r="M70" s="293" t="s">
        <v>15128</v>
      </c>
    </row>
    <row r="71" spans="1:15" ht="57">
      <c r="A71" s="293" t="str">
        <f t="shared" si="4"/>
        <v>InstructionsA74</v>
      </c>
      <c r="B71" s="293" t="s">
        <v>542</v>
      </c>
      <c r="C71" s="293" t="s">
        <v>14358</v>
      </c>
      <c r="D71" s="293" t="s">
        <v>960</v>
      </c>
      <c r="E71" s="257" t="s">
        <v>13655</v>
      </c>
      <c r="F71" s="346" t="s">
        <v>14643</v>
      </c>
      <c r="G71" s="293" t="s">
        <v>850</v>
      </c>
      <c r="H71" s="173" t="s">
        <v>140</v>
      </c>
      <c r="I71" s="293" t="s">
        <v>80</v>
      </c>
      <c r="J71" s="293" t="s">
        <v>1069</v>
      </c>
      <c r="K71" s="287" t="s">
        <v>1147</v>
      </c>
      <c r="L71" s="300" t="s">
        <v>1281</v>
      </c>
      <c r="M71" s="293" t="s">
        <v>15129</v>
      </c>
    </row>
    <row r="72" spans="1:15">
      <c r="A72" s="293" t="str">
        <f t="shared" si="4"/>
        <v>DefinitionsB2</v>
      </c>
      <c r="B72" s="293" t="s">
        <v>971</v>
      </c>
      <c r="C72" s="293" t="s">
        <v>1018</v>
      </c>
      <c r="D72" s="293" t="s">
        <v>1070</v>
      </c>
      <c r="F72" s="346" t="s">
        <v>14644</v>
      </c>
      <c r="G72" s="293" t="s">
        <v>891</v>
      </c>
      <c r="H72" s="173" t="s">
        <v>1070</v>
      </c>
      <c r="I72" s="293" t="s">
        <v>81</v>
      </c>
      <c r="J72" s="293" t="s">
        <v>1071</v>
      </c>
      <c r="K72" s="287" t="s">
        <v>1148</v>
      </c>
      <c r="L72" s="300" t="s">
        <v>609</v>
      </c>
      <c r="M72" s="293" t="s">
        <v>15130</v>
      </c>
    </row>
    <row r="73" spans="1:15" ht="28.5">
      <c r="A73" s="293" t="str">
        <f t="shared" si="4"/>
        <v>DefinitionsB3</v>
      </c>
      <c r="B73" s="293" t="s">
        <v>971</v>
      </c>
      <c r="C73" s="293" t="s">
        <v>972</v>
      </c>
      <c r="D73" s="293" t="s">
        <v>1023</v>
      </c>
      <c r="E73" s="257" t="s">
        <v>13656</v>
      </c>
      <c r="F73" s="346"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6" t="s">
        <v>14645</v>
      </c>
      <c r="G74" s="293" t="s">
        <v>364</v>
      </c>
      <c r="H74" s="173" t="s">
        <v>132</v>
      </c>
      <c r="I74" s="293" t="s">
        <v>82</v>
      </c>
      <c r="J74" s="293" t="s">
        <v>1364</v>
      </c>
      <c r="K74" s="287" t="s">
        <v>195</v>
      </c>
      <c r="L74" s="300" t="s">
        <v>161</v>
      </c>
      <c r="M74" s="293" t="s">
        <v>15131</v>
      </c>
    </row>
    <row r="75" spans="1:15" ht="114">
      <c r="A75" s="293" t="str">
        <f t="shared" ref="A75" si="5">B75&amp;C75</f>
        <v>DefinitionsB5</v>
      </c>
      <c r="B75" s="293" t="s">
        <v>971</v>
      </c>
      <c r="C75" s="293" t="s">
        <v>974</v>
      </c>
      <c r="D75" s="293" t="s">
        <v>14388</v>
      </c>
      <c r="E75" s="293" t="s">
        <v>14523</v>
      </c>
      <c r="F75" s="346" t="s">
        <v>14646</v>
      </c>
      <c r="G75" s="293" t="s">
        <v>14812</v>
      </c>
      <c r="H75" s="293" t="s">
        <v>14880</v>
      </c>
      <c r="I75" s="293" t="s">
        <v>14935</v>
      </c>
      <c r="J75" s="293" t="s">
        <v>15290</v>
      </c>
      <c r="K75" s="293" t="s">
        <v>14998</v>
      </c>
      <c r="L75" s="293" t="s">
        <v>15059</v>
      </c>
      <c r="M75" s="293" t="s">
        <v>15132</v>
      </c>
      <c r="N75" s="293" t="s">
        <v>14388</v>
      </c>
      <c r="O75" s="293" t="s">
        <v>14388</v>
      </c>
    </row>
    <row r="76" spans="1:15" ht="28.5">
      <c r="A76" s="293" t="str">
        <f>B76&amp;C76</f>
        <v>DefinitionsB6</v>
      </c>
      <c r="B76" s="293" t="s">
        <v>971</v>
      </c>
      <c r="C76" s="293" t="s">
        <v>975</v>
      </c>
      <c r="D76" s="293" t="s">
        <v>881</v>
      </c>
      <c r="E76" s="288" t="s">
        <v>581</v>
      </c>
      <c r="F76" s="346" t="s">
        <v>14647</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6" t="s">
        <v>14648</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6" t="s">
        <v>14649</v>
      </c>
      <c r="G78" s="293" t="s">
        <v>1073</v>
      </c>
      <c r="H78" s="173" t="s">
        <v>1074</v>
      </c>
      <c r="I78" s="293" t="s">
        <v>85</v>
      </c>
      <c r="J78" s="293" t="s">
        <v>102</v>
      </c>
      <c r="K78" s="287" t="s">
        <v>197</v>
      </c>
      <c r="L78" s="300" t="s">
        <v>612</v>
      </c>
      <c r="M78" s="293" t="s">
        <v>13550</v>
      </c>
      <c r="N78" s="187" t="s">
        <v>13526</v>
      </c>
    </row>
    <row r="79" spans="1:15" ht="42.75">
      <c r="A79" s="293" t="str">
        <f>B79&amp;C79</f>
        <v>DefinitionsB9</v>
      </c>
      <c r="B79" s="293" t="s">
        <v>971</v>
      </c>
      <c r="C79" s="293" t="s">
        <v>978</v>
      </c>
      <c r="D79" s="293" t="s">
        <v>890</v>
      </c>
      <c r="E79" s="257" t="s">
        <v>13551</v>
      </c>
      <c r="F79" s="346" t="s">
        <v>14650</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6" t="s">
        <v>14651</v>
      </c>
      <c r="G80" s="293" t="s">
        <v>1075</v>
      </c>
      <c r="H80" s="293" t="s">
        <v>1076</v>
      </c>
      <c r="I80" s="293" t="s">
        <v>1076</v>
      </c>
      <c r="J80" s="293" t="s">
        <v>1366</v>
      </c>
      <c r="K80" s="287" t="s">
        <v>882</v>
      </c>
      <c r="L80" s="300" t="s">
        <v>1076</v>
      </c>
      <c r="M80" s="293" t="s">
        <v>13552</v>
      </c>
      <c r="N80" s="187" t="s">
        <v>13528</v>
      </c>
    </row>
    <row r="81" spans="1:14" ht="28.5">
      <c r="A81" s="293" t="str">
        <f t="shared" ref="A81" si="6">B81&amp;C81</f>
        <v>DefinitionsB11</v>
      </c>
      <c r="B81" s="293" t="s">
        <v>971</v>
      </c>
      <c r="C81" s="293" t="s">
        <v>980</v>
      </c>
      <c r="D81" s="293" t="s">
        <v>13545</v>
      </c>
      <c r="E81" s="257" t="s">
        <v>13553</v>
      </c>
      <c r="F81" s="346" t="s">
        <v>14652</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6" t="s">
        <v>14653</v>
      </c>
      <c r="G82" s="293" t="s">
        <v>366</v>
      </c>
      <c r="H82" s="293" t="s">
        <v>1079</v>
      </c>
      <c r="I82" s="293" t="s">
        <v>86</v>
      </c>
      <c r="J82" s="293" t="s">
        <v>103</v>
      </c>
      <c r="K82" s="287" t="s">
        <v>199</v>
      </c>
      <c r="L82" s="300" t="s">
        <v>614</v>
      </c>
      <c r="M82" s="293" t="s">
        <v>13555</v>
      </c>
      <c r="N82" s="187" t="s">
        <v>13590</v>
      </c>
    </row>
    <row r="83" spans="1:14" ht="28.5">
      <c r="A83" s="293" t="str">
        <f t="shared" si="7"/>
        <v>DefinitionsB13</v>
      </c>
      <c r="B83" s="293" t="s">
        <v>971</v>
      </c>
      <c r="C83" s="293" t="s">
        <v>982</v>
      </c>
      <c r="D83" s="293" t="s">
        <v>13546</v>
      </c>
      <c r="E83" s="257" t="s">
        <v>13556</v>
      </c>
      <c r="F83" s="346" t="s">
        <v>14654</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6" t="s">
        <v>14655</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6" t="s">
        <v>1035</v>
      </c>
      <c r="G85" s="293" t="s">
        <v>1035</v>
      </c>
      <c r="H85" s="293" t="s">
        <v>1035</v>
      </c>
      <c r="I85" s="293" t="s">
        <v>1035</v>
      </c>
      <c r="J85" s="293" t="s">
        <v>1035</v>
      </c>
      <c r="K85" s="287" t="s">
        <v>1035</v>
      </c>
      <c r="L85" s="300" t="s">
        <v>1035</v>
      </c>
      <c r="M85" s="293" t="s">
        <v>1035</v>
      </c>
      <c r="N85" s="187" t="s">
        <v>13531</v>
      </c>
    </row>
    <row r="86" spans="1:14" ht="28.5">
      <c r="A86" s="293" t="str">
        <f t="shared" si="7"/>
        <v>DefinitionsB16</v>
      </c>
      <c r="B86" s="293" t="s">
        <v>971</v>
      </c>
      <c r="C86" s="293" t="s">
        <v>985</v>
      </c>
      <c r="D86" s="293" t="s">
        <v>14410</v>
      </c>
      <c r="E86" s="257" t="s">
        <v>13660</v>
      </c>
      <c r="F86" s="346" t="s">
        <v>15460</v>
      </c>
      <c r="G86" s="293" t="s">
        <v>368</v>
      </c>
      <c r="H86" s="293" t="s">
        <v>15462</v>
      </c>
      <c r="I86" s="293" t="s">
        <v>89</v>
      </c>
      <c r="J86" s="293" t="s">
        <v>15461</v>
      </c>
      <c r="K86" s="287" t="s">
        <v>202</v>
      </c>
      <c r="L86" s="300" t="s">
        <v>1037</v>
      </c>
      <c r="M86" s="293" t="s">
        <v>13560</v>
      </c>
      <c r="N86" s="187" t="s">
        <v>13532</v>
      </c>
    </row>
    <row r="87" spans="1:14">
      <c r="A87" s="293" t="str">
        <f t="shared" si="7"/>
        <v>DefinitionsB17</v>
      </c>
      <c r="B87" s="293" t="s">
        <v>971</v>
      </c>
      <c r="C87" s="293" t="s">
        <v>986</v>
      </c>
      <c r="D87" s="293" t="s">
        <v>1039</v>
      </c>
      <c r="E87" s="257" t="s">
        <v>13561</v>
      </c>
      <c r="F87" s="346" t="s">
        <v>14656</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6" t="s">
        <v>14657</v>
      </c>
      <c r="G88" s="293" t="s">
        <v>13565</v>
      </c>
      <c r="H88" s="293" t="s">
        <v>350</v>
      </c>
      <c r="I88" s="293" t="s">
        <v>91</v>
      </c>
      <c r="J88" s="293" t="s">
        <v>107</v>
      </c>
      <c r="K88" s="287" t="s">
        <v>204</v>
      </c>
      <c r="L88" s="300" t="s">
        <v>166</v>
      </c>
      <c r="M88" s="293" t="s">
        <v>13566</v>
      </c>
      <c r="N88" s="187" t="s">
        <v>13534</v>
      </c>
    </row>
    <row r="89" spans="1:14" ht="28.5">
      <c r="A89" s="293" t="str">
        <f t="shared" si="7"/>
        <v>DefinitionsB19</v>
      </c>
      <c r="B89" s="293" t="s">
        <v>971</v>
      </c>
      <c r="C89" s="293" t="s">
        <v>988</v>
      </c>
      <c r="D89" s="293" t="s">
        <v>880</v>
      </c>
      <c r="E89" s="257" t="s">
        <v>13661</v>
      </c>
      <c r="F89" s="346" t="s">
        <v>14658</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6" t="s">
        <v>14659</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6" t="s">
        <v>13503</v>
      </c>
      <c r="G91" s="293" t="s">
        <v>13503</v>
      </c>
      <c r="H91" s="293" t="s">
        <v>13503</v>
      </c>
      <c r="I91" s="293" t="s">
        <v>13503</v>
      </c>
      <c r="J91" s="293" t="s">
        <v>13503</v>
      </c>
      <c r="K91" s="287" t="s">
        <v>13503</v>
      </c>
      <c r="L91" s="300" t="s">
        <v>13503</v>
      </c>
      <c r="M91" s="293" t="s">
        <v>13503</v>
      </c>
      <c r="N91" s="187" t="s">
        <v>13502</v>
      </c>
    </row>
    <row r="92" spans="1:14" ht="28.5">
      <c r="A92" s="293" t="str">
        <f t="shared" si="7"/>
        <v>DefinitionsB22</v>
      </c>
      <c r="B92" s="293" t="s">
        <v>971</v>
      </c>
      <c r="C92" s="293" t="s">
        <v>991</v>
      </c>
      <c r="D92" s="293" t="s">
        <v>587</v>
      </c>
      <c r="E92" s="257" t="s">
        <v>13568</v>
      </c>
      <c r="F92" s="346" t="s">
        <v>14660</v>
      </c>
      <c r="G92" s="293" t="s">
        <v>369</v>
      </c>
      <c r="H92" s="293" t="s">
        <v>351</v>
      </c>
      <c r="I92" s="293" t="s">
        <v>92</v>
      </c>
      <c r="J92" s="293" t="s">
        <v>1368</v>
      </c>
      <c r="K92" s="287" t="s">
        <v>205</v>
      </c>
      <c r="L92" s="300" t="s">
        <v>616</v>
      </c>
      <c r="M92" s="293" t="s">
        <v>13569</v>
      </c>
      <c r="N92" s="187" t="s">
        <v>13541</v>
      </c>
    </row>
    <row r="93" spans="1:14" ht="28.5">
      <c r="A93" s="293" t="str">
        <f t="shared" si="7"/>
        <v>DefinitionsB23</v>
      </c>
      <c r="B93" s="293" t="s">
        <v>971</v>
      </c>
      <c r="C93" s="293" t="s">
        <v>992</v>
      </c>
      <c r="D93" s="293" t="s">
        <v>13498</v>
      </c>
      <c r="E93" s="257" t="s">
        <v>13663</v>
      </c>
      <c r="F93" s="346" t="s">
        <v>14661</v>
      </c>
      <c r="G93" s="293" t="s">
        <v>14813</v>
      </c>
      <c r="H93" s="293" t="s">
        <v>13579</v>
      </c>
      <c r="I93" s="293" t="s">
        <v>13580</v>
      </c>
      <c r="J93" s="293" t="s">
        <v>13498</v>
      </c>
      <c r="K93" s="287" t="s">
        <v>13626</v>
      </c>
      <c r="L93" s="308" t="s">
        <v>13498</v>
      </c>
      <c r="M93" s="293" t="s">
        <v>13773</v>
      </c>
      <c r="N93" s="187" t="s">
        <v>13612</v>
      </c>
    </row>
    <row r="94" spans="1:14" ht="28.5">
      <c r="A94" s="293" t="str">
        <f t="shared" si="7"/>
        <v>DefinitionsB24</v>
      </c>
      <c r="B94" s="293" t="s">
        <v>971</v>
      </c>
      <c r="C94" s="293" t="s">
        <v>1019</v>
      </c>
      <c r="D94" s="293" t="s">
        <v>13499</v>
      </c>
      <c r="E94" s="257" t="s">
        <v>13664</v>
      </c>
      <c r="F94" s="346" t="s">
        <v>14662</v>
      </c>
      <c r="G94" s="293" t="s">
        <v>14814</v>
      </c>
      <c r="H94" s="293" t="s">
        <v>345</v>
      </c>
      <c r="I94" s="293" t="s">
        <v>13499</v>
      </c>
      <c r="J94" s="293" t="s">
        <v>13499</v>
      </c>
      <c r="K94" s="287" t="s">
        <v>13627</v>
      </c>
      <c r="L94" s="300" t="s">
        <v>13789</v>
      </c>
      <c r="M94" s="293" t="s">
        <v>13774</v>
      </c>
      <c r="N94" s="187" t="s">
        <v>13596</v>
      </c>
    </row>
    <row r="95" spans="1:14" ht="101.45" customHeight="1">
      <c r="A95" s="293" t="str">
        <f t="shared" si="7"/>
        <v>DefinitionsB25</v>
      </c>
      <c r="B95" s="293" t="s">
        <v>971</v>
      </c>
      <c r="C95" s="293" t="s">
        <v>486</v>
      </c>
      <c r="D95" s="293" t="s">
        <v>13497</v>
      </c>
      <c r="E95" s="257" t="s">
        <v>13665</v>
      </c>
      <c r="F95" s="346" t="s">
        <v>14663</v>
      </c>
      <c r="G95" s="293" t="s">
        <v>14815</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6" t="s">
        <v>14664</v>
      </c>
      <c r="G96" s="293" t="s">
        <v>1086</v>
      </c>
      <c r="H96" s="293" t="s">
        <v>879</v>
      </c>
      <c r="I96" s="293" t="s">
        <v>879</v>
      </c>
      <c r="J96" s="293" t="s">
        <v>879</v>
      </c>
      <c r="K96" s="287" t="s">
        <v>879</v>
      </c>
      <c r="L96" s="300" t="s">
        <v>879</v>
      </c>
      <c r="M96" s="293" t="s">
        <v>879</v>
      </c>
      <c r="N96" s="187" t="s">
        <v>13544</v>
      </c>
    </row>
    <row r="97" spans="1:14" ht="28.5">
      <c r="A97" s="293" t="str">
        <f t="shared" si="7"/>
        <v>DefinitionsB27</v>
      </c>
      <c r="B97" s="293" t="s">
        <v>971</v>
      </c>
      <c r="C97" s="293" t="s">
        <v>591</v>
      </c>
      <c r="D97" s="293" t="s">
        <v>1112</v>
      </c>
      <c r="E97" s="257" t="s">
        <v>1087</v>
      </c>
      <c r="F97" s="346" t="s">
        <v>14665</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6" t="s">
        <v>14666</v>
      </c>
      <c r="G98" s="293" t="s">
        <v>370</v>
      </c>
      <c r="H98" s="293" t="s">
        <v>352</v>
      </c>
      <c r="I98" s="293" t="s">
        <v>93</v>
      </c>
      <c r="J98" s="293" t="s">
        <v>108</v>
      </c>
      <c r="K98" s="287" t="s">
        <v>206</v>
      </c>
      <c r="L98" s="300" t="s">
        <v>167</v>
      </c>
      <c r="M98" s="293" t="s">
        <v>13572</v>
      </c>
      <c r="N98" s="187" t="s">
        <v>13597</v>
      </c>
    </row>
    <row r="99" spans="1:14" ht="28.5">
      <c r="A99" s="293" t="str">
        <f t="shared" si="7"/>
        <v>DefinitionsB29</v>
      </c>
      <c r="B99" s="293" t="s">
        <v>971</v>
      </c>
      <c r="C99" s="293" t="s">
        <v>597</v>
      </c>
      <c r="D99" s="293" t="s">
        <v>600</v>
      </c>
      <c r="E99" s="257" t="s">
        <v>13667</v>
      </c>
      <c r="F99" s="346" t="s">
        <v>14667</v>
      </c>
      <c r="G99" s="293" t="s">
        <v>371</v>
      </c>
      <c r="H99" s="293" t="s">
        <v>1092</v>
      </c>
      <c r="I99" s="293" t="s">
        <v>94</v>
      </c>
      <c r="J99" s="293" t="s">
        <v>109</v>
      </c>
      <c r="K99" s="287" t="s">
        <v>207</v>
      </c>
      <c r="L99" s="300" t="s">
        <v>618</v>
      </c>
      <c r="M99" s="293" t="s">
        <v>13573</v>
      </c>
      <c r="N99" s="187" t="s">
        <v>13598</v>
      </c>
    </row>
    <row r="100" spans="1:14" ht="28.5">
      <c r="A100" s="293" t="str">
        <f t="shared" si="7"/>
        <v>DefinitionsB30</v>
      </c>
      <c r="B100" s="293" t="s">
        <v>971</v>
      </c>
      <c r="C100" s="293" t="s">
        <v>601</v>
      </c>
      <c r="D100" s="293" t="s">
        <v>603</v>
      </c>
      <c r="E100" s="257" t="s">
        <v>13668</v>
      </c>
      <c r="F100" s="346" t="s">
        <v>14668</v>
      </c>
      <c r="G100" s="293" t="s">
        <v>372</v>
      </c>
      <c r="H100" s="293" t="s">
        <v>1093</v>
      </c>
      <c r="I100" s="293" t="s">
        <v>95</v>
      </c>
      <c r="J100" s="293" t="s">
        <v>110</v>
      </c>
      <c r="K100" s="287" t="s">
        <v>208</v>
      </c>
      <c r="L100" s="300" t="s">
        <v>619</v>
      </c>
      <c r="M100" s="293" t="s">
        <v>13574</v>
      </c>
      <c r="N100" s="187" t="s">
        <v>13599</v>
      </c>
    </row>
    <row r="101" spans="1:14" ht="28.5">
      <c r="A101" s="293" t="str">
        <f t="shared" si="7"/>
        <v>DefinitionsB31</v>
      </c>
      <c r="B101" s="293" t="s">
        <v>971</v>
      </c>
      <c r="C101" s="293" t="s">
        <v>487</v>
      </c>
      <c r="D101" s="293" t="s">
        <v>604</v>
      </c>
      <c r="E101" s="257" t="s">
        <v>13669</v>
      </c>
      <c r="F101" s="346" t="s">
        <v>14669</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6" t="s">
        <v>14670</v>
      </c>
      <c r="G102" s="293" t="s">
        <v>892</v>
      </c>
      <c r="H102" s="293" t="s">
        <v>1095</v>
      </c>
      <c r="I102" s="293" t="s">
        <v>97</v>
      </c>
      <c r="J102" s="293" t="s">
        <v>1096</v>
      </c>
      <c r="K102" s="287" t="s">
        <v>1152</v>
      </c>
      <c r="L102" s="300" t="s">
        <v>621</v>
      </c>
      <c r="M102" s="293" t="s">
        <v>15133</v>
      </c>
    </row>
    <row r="103" spans="1:14">
      <c r="A103" s="293" t="str">
        <f t="shared" si="7"/>
        <v>DefinitionsC3</v>
      </c>
      <c r="B103" s="293" t="s">
        <v>971</v>
      </c>
      <c r="C103" s="293" t="s">
        <v>993</v>
      </c>
      <c r="D103" s="293" t="s">
        <v>1024</v>
      </c>
      <c r="E103" s="257" t="s">
        <v>13670</v>
      </c>
      <c r="F103" s="346" t="s">
        <v>14671</v>
      </c>
      <c r="G103" s="293" t="s">
        <v>374</v>
      </c>
      <c r="H103" s="293" t="s">
        <v>353</v>
      </c>
      <c r="I103" s="293" t="s">
        <v>98</v>
      </c>
      <c r="J103" s="293" t="s">
        <v>112</v>
      </c>
      <c r="K103" s="287" t="s">
        <v>210</v>
      </c>
      <c r="L103" s="300" t="s">
        <v>168</v>
      </c>
      <c r="M103" s="293" t="s">
        <v>15134</v>
      </c>
    </row>
    <row r="104" spans="1:14" ht="85.5">
      <c r="A104" s="293" t="str">
        <f t="shared" si="7"/>
        <v>DefinitionsC4</v>
      </c>
      <c r="B104" s="293" t="s">
        <v>971</v>
      </c>
      <c r="C104" s="293" t="s">
        <v>994</v>
      </c>
      <c r="D104" s="293" t="s">
        <v>1026</v>
      </c>
      <c r="E104" s="257" t="s">
        <v>14258</v>
      </c>
      <c r="F104" s="346" t="s">
        <v>14672</v>
      </c>
      <c r="G104" s="293" t="s">
        <v>2295</v>
      </c>
      <c r="H104" s="293" t="s">
        <v>354</v>
      </c>
      <c r="I104" s="293" t="s">
        <v>99</v>
      </c>
      <c r="J104" s="293" t="s">
        <v>1369</v>
      </c>
      <c r="K104" s="287" t="s">
        <v>211</v>
      </c>
      <c r="L104" s="300" t="s">
        <v>169</v>
      </c>
      <c r="M104" s="293" t="s">
        <v>15135</v>
      </c>
    </row>
    <row r="105" spans="1:14" ht="82.5" customHeight="1">
      <c r="A105" s="293" t="str">
        <f t="shared" ref="A105" si="8">B105&amp;C105</f>
        <v>DefinitionsC5</v>
      </c>
      <c r="B105" s="293" t="s">
        <v>971</v>
      </c>
      <c r="C105" s="293" t="s">
        <v>995</v>
      </c>
      <c r="D105" s="298" t="s">
        <v>14409</v>
      </c>
      <c r="E105" s="257" t="s">
        <v>15317</v>
      </c>
      <c r="F105" s="346" t="s">
        <v>15483</v>
      </c>
      <c r="G105" s="293" t="s">
        <v>15318</v>
      </c>
      <c r="H105" s="293" t="s">
        <v>15320</v>
      </c>
      <c r="I105" s="293" t="s">
        <v>15322</v>
      </c>
      <c r="J105" s="293" t="s">
        <v>15319</v>
      </c>
      <c r="K105" s="287" t="s">
        <v>15321</v>
      </c>
      <c r="L105" s="300" t="s">
        <v>15323</v>
      </c>
      <c r="M105" s="293" t="s">
        <v>15324</v>
      </c>
    </row>
    <row r="106" spans="1:14" ht="191.25">
      <c r="A106" s="293" t="str">
        <f t="shared" ref="A106:A137" si="9">B106&amp;C106</f>
        <v>DefinitionsC6</v>
      </c>
      <c r="B106" s="293" t="s">
        <v>971</v>
      </c>
      <c r="C106" s="293" t="s">
        <v>996</v>
      </c>
      <c r="D106" s="295" t="s">
        <v>1145</v>
      </c>
      <c r="E106" s="327" t="s">
        <v>13671</v>
      </c>
      <c r="F106" s="347" t="s">
        <v>14673</v>
      </c>
      <c r="G106" s="295" t="s">
        <v>14816</v>
      </c>
      <c r="H106" s="295" t="s">
        <v>14881</v>
      </c>
      <c r="I106" s="295" t="s">
        <v>14936</v>
      </c>
      <c r="J106" s="295" t="s">
        <v>1388</v>
      </c>
      <c r="K106" s="289" t="s">
        <v>14999</v>
      </c>
      <c r="L106" s="301" t="s">
        <v>15060</v>
      </c>
      <c r="M106" s="295" t="s">
        <v>15136</v>
      </c>
    </row>
    <row r="107" spans="1:14" ht="156.75">
      <c r="A107" s="293" t="str">
        <f t="shared" si="9"/>
        <v>DefinitionsC7</v>
      </c>
      <c r="B107" s="293" t="s">
        <v>971</v>
      </c>
      <c r="C107" s="293" t="s">
        <v>997</v>
      </c>
      <c r="D107" s="293" t="s">
        <v>1028</v>
      </c>
      <c r="E107" s="257" t="s">
        <v>13672</v>
      </c>
      <c r="F107" s="346" t="s">
        <v>15484</v>
      </c>
      <c r="G107" s="293" t="s">
        <v>375</v>
      </c>
      <c r="H107" s="293" t="s">
        <v>14882</v>
      </c>
      <c r="I107" s="293" t="s">
        <v>100</v>
      </c>
      <c r="J107" s="293" t="s">
        <v>1389</v>
      </c>
      <c r="K107" s="287" t="s">
        <v>323</v>
      </c>
      <c r="L107" s="300" t="s">
        <v>13790</v>
      </c>
      <c r="M107" s="293" t="s">
        <v>13525</v>
      </c>
    </row>
    <row r="108" spans="1:14" ht="185.25">
      <c r="A108" s="293" t="str">
        <f t="shared" si="9"/>
        <v>DefinitionsC8</v>
      </c>
      <c r="B108" s="293" t="s">
        <v>971</v>
      </c>
      <c r="C108" s="293" t="s">
        <v>998</v>
      </c>
      <c r="D108" s="293" t="s">
        <v>1030</v>
      </c>
      <c r="E108" s="257" t="s">
        <v>13673</v>
      </c>
      <c r="F108" s="346" t="s">
        <v>14674</v>
      </c>
      <c r="G108" s="293" t="s">
        <v>376</v>
      </c>
      <c r="H108" s="173" t="s">
        <v>280</v>
      </c>
      <c r="I108" s="293" t="s">
        <v>101</v>
      </c>
      <c r="J108" s="293" t="s">
        <v>1390</v>
      </c>
      <c r="K108" s="287" t="s">
        <v>324</v>
      </c>
      <c r="L108" s="300" t="s">
        <v>170</v>
      </c>
      <c r="M108" s="293" t="s">
        <v>13526</v>
      </c>
    </row>
    <row r="109" spans="1:14" ht="85.5">
      <c r="A109" s="293" t="str">
        <f t="shared" si="9"/>
        <v>DefinitionsC9</v>
      </c>
      <c r="B109" s="293" t="s">
        <v>971</v>
      </c>
      <c r="C109" s="293" t="s">
        <v>999</v>
      </c>
      <c r="D109" s="293" t="s">
        <v>968</v>
      </c>
      <c r="E109" s="257" t="s">
        <v>13674</v>
      </c>
      <c r="F109" s="346" t="s">
        <v>14675</v>
      </c>
      <c r="G109" s="293" t="s">
        <v>14817</v>
      </c>
      <c r="H109" s="293" t="s">
        <v>14883</v>
      </c>
      <c r="I109" s="293" t="s">
        <v>14937</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6" t="s">
        <v>14676</v>
      </c>
      <c r="G110" s="293" t="s">
        <v>1098</v>
      </c>
      <c r="H110" s="293" t="s">
        <v>1099</v>
      </c>
      <c r="I110" s="293" t="s">
        <v>1100</v>
      </c>
      <c r="J110" s="293" t="s">
        <v>1101</v>
      </c>
      <c r="K110" s="287" t="s">
        <v>326</v>
      </c>
      <c r="L110" s="300" t="s">
        <v>623</v>
      </c>
      <c r="M110" s="293" t="s">
        <v>13528</v>
      </c>
    </row>
    <row r="111" spans="1:14" ht="156.75">
      <c r="A111" s="293" t="str">
        <f t="shared" si="9"/>
        <v>DefinitionsC11</v>
      </c>
      <c r="B111" s="293" t="s">
        <v>971</v>
      </c>
      <c r="C111" s="293" t="s">
        <v>1001</v>
      </c>
      <c r="D111" s="293" t="s">
        <v>1031</v>
      </c>
      <c r="E111" s="328" t="s">
        <v>13675</v>
      </c>
      <c r="F111" s="346" t="s">
        <v>14677</v>
      </c>
      <c r="G111" s="293" t="s">
        <v>14818</v>
      </c>
      <c r="H111" s="293" t="s">
        <v>14884</v>
      </c>
      <c r="I111" s="293" t="s">
        <v>14938</v>
      </c>
      <c r="J111" s="293" t="s">
        <v>1391</v>
      </c>
      <c r="K111" s="287" t="s">
        <v>327</v>
      </c>
      <c r="L111" s="300" t="s">
        <v>13791</v>
      </c>
      <c r="M111" s="293" t="s">
        <v>13529</v>
      </c>
    </row>
    <row r="112" spans="1:14" ht="128.25">
      <c r="A112" s="293" t="str">
        <f t="shared" si="9"/>
        <v>DefinitionsC12</v>
      </c>
      <c r="B112" s="293" t="s">
        <v>971</v>
      </c>
      <c r="C112" s="293" t="s">
        <v>1002</v>
      </c>
      <c r="D112" s="293" t="s">
        <v>13504</v>
      </c>
      <c r="E112" s="328" t="s">
        <v>13676</v>
      </c>
      <c r="F112" s="346" t="s">
        <v>14678</v>
      </c>
      <c r="G112" s="293" t="s">
        <v>13586</v>
      </c>
      <c r="H112" s="293" t="s">
        <v>13587</v>
      </c>
      <c r="I112" s="293" t="s">
        <v>14939</v>
      </c>
      <c r="J112" s="293" t="s">
        <v>13813</v>
      </c>
      <c r="K112" s="287" t="s">
        <v>13588</v>
      </c>
      <c r="L112" s="300" t="s">
        <v>13589</v>
      </c>
      <c r="M112" s="293" t="s">
        <v>13590</v>
      </c>
    </row>
    <row r="113" spans="1:13" ht="156.75">
      <c r="A113" s="293" t="str">
        <f t="shared" si="9"/>
        <v>DefinitionsC13</v>
      </c>
      <c r="B113" s="293" t="s">
        <v>971</v>
      </c>
      <c r="C113" s="293" t="s">
        <v>1003</v>
      </c>
      <c r="D113" s="293" t="s">
        <v>13505</v>
      </c>
      <c r="E113" s="328" t="s">
        <v>13677</v>
      </c>
      <c r="F113" s="346" t="s">
        <v>14679</v>
      </c>
      <c r="G113" s="293" t="s">
        <v>13591</v>
      </c>
      <c r="H113" s="173" t="s">
        <v>13592</v>
      </c>
      <c r="I113" s="293" t="s">
        <v>13593</v>
      </c>
      <c r="J113" s="293" t="s">
        <v>13814</v>
      </c>
      <c r="K113" s="287" t="s">
        <v>13594</v>
      </c>
      <c r="L113" s="300" t="s">
        <v>13792</v>
      </c>
      <c r="M113" s="293" t="s">
        <v>13578</v>
      </c>
    </row>
    <row r="114" spans="1:13" ht="409.5">
      <c r="A114" s="293" t="str">
        <f t="shared" si="9"/>
        <v>DefinitionsC14</v>
      </c>
      <c r="B114" s="293" t="s">
        <v>971</v>
      </c>
      <c r="C114" s="293" t="s">
        <v>1004</v>
      </c>
      <c r="D114" s="293" t="s">
        <v>1033</v>
      </c>
      <c r="E114" s="328" t="s">
        <v>14524</v>
      </c>
      <c r="F114" s="346" t="s">
        <v>15485</v>
      </c>
      <c r="G114" s="293" t="s">
        <v>14819</v>
      </c>
      <c r="H114" s="293" t="s">
        <v>14885</v>
      </c>
      <c r="I114" s="293" t="s">
        <v>14940</v>
      </c>
      <c r="J114" s="293" t="s">
        <v>1370</v>
      </c>
      <c r="K114" s="287" t="s">
        <v>15000</v>
      </c>
      <c r="L114" s="300" t="s">
        <v>15061</v>
      </c>
      <c r="M114" s="293" t="s">
        <v>15137</v>
      </c>
    </row>
    <row r="115" spans="1:13" ht="285">
      <c r="A115" s="293" t="str">
        <f t="shared" si="9"/>
        <v>DefinitionsC15</v>
      </c>
      <c r="B115" s="293" t="s">
        <v>971</v>
      </c>
      <c r="C115" s="293" t="s">
        <v>1005</v>
      </c>
      <c r="D115" s="293" t="s">
        <v>1036</v>
      </c>
      <c r="E115" s="328" t="s">
        <v>13678</v>
      </c>
      <c r="F115" s="346" t="s">
        <v>14680</v>
      </c>
      <c r="G115" s="293" t="s">
        <v>552</v>
      </c>
      <c r="H115" s="293" t="s">
        <v>281</v>
      </c>
      <c r="I115" s="293" t="s">
        <v>212</v>
      </c>
      <c r="J115" s="293" t="s">
        <v>13815</v>
      </c>
      <c r="K115" s="287" t="s">
        <v>328</v>
      </c>
      <c r="L115" s="300" t="s">
        <v>171</v>
      </c>
      <c r="M115" s="293" t="s">
        <v>13531</v>
      </c>
    </row>
    <row r="116" spans="1:13" ht="142.5">
      <c r="A116" s="293" t="str">
        <f t="shared" si="9"/>
        <v>DefinitionsC16</v>
      </c>
      <c r="B116" s="293" t="s">
        <v>971</v>
      </c>
      <c r="C116" s="293" t="s">
        <v>1006</v>
      </c>
      <c r="D116" s="293" t="s">
        <v>1038</v>
      </c>
      <c r="E116" s="257" t="s">
        <v>13679</v>
      </c>
      <c r="F116" s="346" t="s">
        <v>14681</v>
      </c>
      <c r="G116" s="293" t="s">
        <v>553</v>
      </c>
      <c r="H116" s="293" t="s">
        <v>282</v>
      </c>
      <c r="I116" s="293" t="s">
        <v>213</v>
      </c>
      <c r="J116" s="293" t="s">
        <v>1371</v>
      </c>
      <c r="K116" s="287" t="s">
        <v>329</v>
      </c>
      <c r="L116" s="300" t="s">
        <v>172</v>
      </c>
      <c r="M116" s="293" t="s">
        <v>13532</v>
      </c>
    </row>
    <row r="117" spans="1:13" ht="370.5">
      <c r="A117" s="293" t="str">
        <f t="shared" si="9"/>
        <v>DefinitionsC17</v>
      </c>
      <c r="B117" s="293" t="s">
        <v>971</v>
      </c>
      <c r="C117" s="293" t="s">
        <v>1007</v>
      </c>
      <c r="D117" s="293" t="s">
        <v>1040</v>
      </c>
      <c r="E117" s="328" t="s">
        <v>14525</v>
      </c>
      <c r="F117" s="346" t="s">
        <v>14682</v>
      </c>
      <c r="G117" s="293" t="s">
        <v>14820</v>
      </c>
      <c r="H117" s="293" t="s">
        <v>14886</v>
      </c>
      <c r="I117" s="293" t="s">
        <v>14941</v>
      </c>
      <c r="J117" s="293" t="s">
        <v>1372</v>
      </c>
      <c r="K117" s="287" t="s">
        <v>15001</v>
      </c>
      <c r="L117" s="300" t="s">
        <v>15062</v>
      </c>
      <c r="M117" s="293" t="s">
        <v>15138</v>
      </c>
    </row>
    <row r="118" spans="1:13" ht="242.25">
      <c r="A118" s="293" t="str">
        <f t="shared" si="9"/>
        <v>DefinitionsC18</v>
      </c>
      <c r="B118" s="293" t="s">
        <v>971</v>
      </c>
      <c r="C118" s="293" t="s">
        <v>1008</v>
      </c>
      <c r="D118" s="293" t="s">
        <v>582</v>
      </c>
      <c r="E118" s="328" t="s">
        <v>14526</v>
      </c>
      <c r="F118" s="346" t="s">
        <v>14683</v>
      </c>
      <c r="G118" s="293" t="s">
        <v>14821</v>
      </c>
      <c r="H118" s="173" t="s">
        <v>14887</v>
      </c>
      <c r="I118" s="293" t="s">
        <v>14942</v>
      </c>
      <c r="J118" s="293" t="s">
        <v>1373</v>
      </c>
      <c r="K118" s="287" t="s">
        <v>15002</v>
      </c>
      <c r="L118" s="300" t="s">
        <v>15063</v>
      </c>
      <c r="M118" s="293" t="s">
        <v>15139</v>
      </c>
    </row>
    <row r="119" spans="1:13" ht="28.5">
      <c r="A119" s="293" t="str">
        <f t="shared" si="9"/>
        <v>DefinitionsC19</v>
      </c>
      <c r="B119" s="293" t="s">
        <v>971</v>
      </c>
      <c r="C119" s="293" t="s">
        <v>1009</v>
      </c>
      <c r="D119" s="293" t="s">
        <v>584</v>
      </c>
      <c r="E119" s="257" t="s">
        <v>889</v>
      </c>
      <c r="F119" s="339" t="s">
        <v>14684</v>
      </c>
      <c r="G119" s="293" t="s">
        <v>851</v>
      </c>
      <c r="H119" s="293" t="s">
        <v>852</v>
      </c>
      <c r="I119" s="293" t="s">
        <v>214</v>
      </c>
      <c r="J119" s="293" t="s">
        <v>853</v>
      </c>
      <c r="K119" s="287" t="s">
        <v>330</v>
      </c>
      <c r="L119" s="300" t="s">
        <v>624</v>
      </c>
      <c r="M119" s="293" t="s">
        <v>13535</v>
      </c>
    </row>
    <row r="120" spans="1:13" ht="71.25">
      <c r="A120" s="293" t="str">
        <f t="shared" si="9"/>
        <v>DefinitionsC20</v>
      </c>
      <c r="B120" s="293" t="s">
        <v>971</v>
      </c>
      <c r="C120" s="293" t="s">
        <v>1010</v>
      </c>
      <c r="D120" s="293" t="s">
        <v>970</v>
      </c>
      <c r="E120" s="257" t="s">
        <v>13536</v>
      </c>
      <c r="F120" s="339" t="s">
        <v>14685</v>
      </c>
      <c r="G120" s="293" t="s">
        <v>854</v>
      </c>
      <c r="H120" s="293" t="s">
        <v>283</v>
      </c>
      <c r="I120" s="293" t="s">
        <v>215</v>
      </c>
      <c r="J120" s="293" t="s">
        <v>855</v>
      </c>
      <c r="K120" s="287" t="s">
        <v>331</v>
      </c>
      <c r="L120" s="300" t="s">
        <v>625</v>
      </c>
      <c r="M120" s="293" t="s">
        <v>13537</v>
      </c>
    </row>
    <row r="121" spans="1:13" ht="28.5">
      <c r="A121" s="293" t="str">
        <f t="shared" si="9"/>
        <v>DefinitionsC21</v>
      </c>
      <c r="B121" s="293" t="s">
        <v>971</v>
      </c>
      <c r="C121" s="293" t="s">
        <v>1011</v>
      </c>
      <c r="D121" s="293" t="s">
        <v>13502</v>
      </c>
      <c r="E121" s="257" t="s">
        <v>13680</v>
      </c>
      <c r="F121" s="339" t="s">
        <v>14686</v>
      </c>
      <c r="G121" s="293" t="s">
        <v>14822</v>
      </c>
      <c r="H121" s="293" t="s">
        <v>13502</v>
      </c>
      <c r="I121" s="293" t="s">
        <v>13502</v>
      </c>
      <c r="J121" s="293" t="s">
        <v>13502</v>
      </c>
      <c r="K121" s="287" t="s">
        <v>13502</v>
      </c>
      <c r="L121" s="300" t="s">
        <v>13502</v>
      </c>
      <c r="M121" s="293" t="s">
        <v>13502</v>
      </c>
    </row>
    <row r="122" spans="1:13" ht="171">
      <c r="A122" s="293" t="str">
        <f t="shared" si="9"/>
        <v>DefinitionsC22</v>
      </c>
      <c r="B122" s="293" t="s">
        <v>971</v>
      </c>
      <c r="C122" s="293" t="s">
        <v>1012</v>
      </c>
      <c r="D122" s="293" t="s">
        <v>590</v>
      </c>
      <c r="E122" s="328" t="s">
        <v>13681</v>
      </c>
      <c r="F122" s="339" t="s">
        <v>14687</v>
      </c>
      <c r="G122" s="293" t="s">
        <v>13538</v>
      </c>
      <c r="H122" s="293" t="s">
        <v>13539</v>
      </c>
      <c r="I122" s="293" t="s">
        <v>216</v>
      </c>
      <c r="J122" s="293" t="s">
        <v>1374</v>
      </c>
      <c r="K122" s="287" t="s">
        <v>332</v>
      </c>
      <c r="L122" s="300" t="s">
        <v>173</v>
      </c>
      <c r="M122" s="293" t="s">
        <v>13540</v>
      </c>
    </row>
    <row r="123" spans="1:13" ht="114">
      <c r="A123" s="293" t="str">
        <f t="shared" si="9"/>
        <v>DefinitionsC23</v>
      </c>
      <c r="B123" s="293" t="s">
        <v>971</v>
      </c>
      <c r="C123" s="293" t="s">
        <v>1013</v>
      </c>
      <c r="D123" s="293" t="s">
        <v>13501</v>
      </c>
      <c r="E123" s="257" t="s">
        <v>13682</v>
      </c>
      <c r="F123" s="346" t="s">
        <v>14688</v>
      </c>
      <c r="G123" s="293" t="s">
        <v>14823</v>
      </c>
      <c r="H123" s="293" t="s">
        <v>13781</v>
      </c>
      <c r="I123" s="293" t="s">
        <v>13828</v>
      </c>
      <c r="J123" s="293" t="s">
        <v>13816</v>
      </c>
      <c r="K123" s="287" t="s">
        <v>13629</v>
      </c>
      <c r="L123" s="300" t="s">
        <v>15064</v>
      </c>
      <c r="M123" s="293" t="s">
        <v>13775</v>
      </c>
    </row>
    <row r="124" spans="1:13" ht="313.5">
      <c r="A124" s="293" t="str">
        <f t="shared" si="9"/>
        <v>DefinitionsC24</v>
      </c>
      <c r="B124" s="293" t="s">
        <v>971</v>
      </c>
      <c r="C124" s="293" t="s">
        <v>585</v>
      </c>
      <c r="D124" s="293" t="s">
        <v>15440</v>
      </c>
      <c r="E124" s="328" t="s">
        <v>13683</v>
      </c>
      <c r="F124" s="346" t="s">
        <v>15463</v>
      </c>
      <c r="G124" s="293" t="s">
        <v>14824</v>
      </c>
      <c r="H124" s="293" t="s">
        <v>15464</v>
      </c>
      <c r="I124" s="293" t="s">
        <v>13829</v>
      </c>
      <c r="J124" s="293" t="s">
        <v>15465</v>
      </c>
      <c r="K124" s="287" t="s">
        <v>15466</v>
      </c>
      <c r="L124" s="300" t="s">
        <v>15467</v>
      </c>
      <c r="M124" s="293" t="s">
        <v>15468</v>
      </c>
    </row>
    <row r="125" spans="1:13" ht="285">
      <c r="A125" s="293" t="str">
        <f t="shared" si="9"/>
        <v>DefinitionsC25</v>
      </c>
      <c r="B125" s="293" t="s">
        <v>971</v>
      </c>
      <c r="C125" s="293" t="s">
        <v>586</v>
      </c>
      <c r="D125" s="293" t="s">
        <v>13500</v>
      </c>
      <c r="E125" s="328" t="s">
        <v>14527</v>
      </c>
      <c r="F125" s="346" t="s">
        <v>14689</v>
      </c>
      <c r="G125" s="293" t="s">
        <v>14825</v>
      </c>
      <c r="H125" s="293" t="s">
        <v>14888</v>
      </c>
      <c r="I125" s="293" t="s">
        <v>14943</v>
      </c>
      <c r="J125" s="293" t="s">
        <v>13817</v>
      </c>
      <c r="K125" s="287" t="s">
        <v>15003</v>
      </c>
      <c r="L125" s="300" t="s">
        <v>15065</v>
      </c>
      <c r="M125" s="293" t="s">
        <v>15140</v>
      </c>
    </row>
    <row r="126" spans="1:13" ht="28.5">
      <c r="A126" s="293" t="str">
        <f t="shared" si="9"/>
        <v>DefinitionsC26</v>
      </c>
      <c r="B126" s="293" t="s">
        <v>971</v>
      </c>
      <c r="C126" s="293" t="s">
        <v>589</v>
      </c>
      <c r="D126" s="293" t="s">
        <v>593</v>
      </c>
      <c r="E126" s="257" t="s">
        <v>13684</v>
      </c>
      <c r="F126" s="346" t="s">
        <v>14690</v>
      </c>
      <c r="G126" s="293" t="s">
        <v>1102</v>
      </c>
      <c r="H126" s="293" t="s">
        <v>593</v>
      </c>
      <c r="I126" s="293" t="s">
        <v>217</v>
      </c>
      <c r="J126" s="293" t="s">
        <v>593</v>
      </c>
      <c r="K126" s="287" t="s">
        <v>593</v>
      </c>
      <c r="L126" s="300" t="s">
        <v>593</v>
      </c>
      <c r="M126" s="293" t="s">
        <v>13541</v>
      </c>
    </row>
    <row r="127" spans="1:13" ht="156.75">
      <c r="A127" s="293" t="str">
        <f t="shared" si="9"/>
        <v>DefinitionsC27</v>
      </c>
      <c r="B127" s="293" t="s">
        <v>971</v>
      </c>
      <c r="C127" s="293" t="s">
        <v>592</v>
      </c>
      <c r="D127" s="293" t="s">
        <v>596</v>
      </c>
      <c r="E127" s="328" t="s">
        <v>13685</v>
      </c>
      <c r="F127" s="346" t="s">
        <v>14691</v>
      </c>
      <c r="G127" s="293" t="s">
        <v>13542</v>
      </c>
      <c r="H127" s="293" t="s">
        <v>13543</v>
      </c>
      <c r="I127" s="293" t="s">
        <v>218</v>
      </c>
      <c r="J127" s="293" t="s">
        <v>1392</v>
      </c>
      <c r="K127" s="287" t="s">
        <v>333</v>
      </c>
      <c r="L127" s="300" t="s">
        <v>174</v>
      </c>
      <c r="M127" s="293" t="s">
        <v>13544</v>
      </c>
    </row>
    <row r="128" spans="1:13" ht="99.75">
      <c r="A128" s="293" t="str">
        <f t="shared" si="9"/>
        <v>DefinitionsC28</v>
      </c>
      <c r="B128" s="293" t="s">
        <v>971</v>
      </c>
      <c r="C128" s="293" t="s">
        <v>595</v>
      </c>
      <c r="D128" s="293" t="s">
        <v>13506</v>
      </c>
      <c r="E128" s="257" t="s">
        <v>13686</v>
      </c>
      <c r="F128" s="346" t="s">
        <v>14692</v>
      </c>
      <c r="G128" s="293" t="s">
        <v>14826</v>
      </c>
      <c r="H128" s="293" t="s">
        <v>13782</v>
      </c>
      <c r="I128" s="293" t="s">
        <v>15441</v>
      </c>
      <c r="J128" s="293" t="s">
        <v>13818</v>
      </c>
      <c r="K128" s="287" t="s">
        <v>13630</v>
      </c>
      <c r="L128" s="300" t="s">
        <v>13793</v>
      </c>
      <c r="M128" s="293" t="s">
        <v>13776</v>
      </c>
    </row>
    <row r="129" spans="1:13" ht="228">
      <c r="A129" s="293" t="str">
        <f t="shared" si="9"/>
        <v>DefinitionsC29</v>
      </c>
      <c r="B129" s="293" t="s">
        <v>971</v>
      </c>
      <c r="C129" s="293" t="s">
        <v>598</v>
      </c>
      <c r="D129" s="293" t="s">
        <v>13507</v>
      </c>
      <c r="E129" s="328" t="s">
        <v>13687</v>
      </c>
      <c r="F129" s="346" t="s">
        <v>14693</v>
      </c>
      <c r="G129" s="293" t="s">
        <v>13600</v>
      </c>
      <c r="H129" s="293" t="s">
        <v>13601</v>
      </c>
      <c r="I129" s="293" t="s">
        <v>13602</v>
      </c>
      <c r="J129" s="293" t="s">
        <v>13819</v>
      </c>
      <c r="K129" s="287" t="s">
        <v>13603</v>
      </c>
      <c r="L129" s="300" t="s">
        <v>13604</v>
      </c>
      <c r="M129" s="293" t="s">
        <v>13597</v>
      </c>
    </row>
    <row r="130" spans="1:13" ht="213.75">
      <c r="A130" s="293" t="str">
        <f t="shared" si="9"/>
        <v>DefinitionsC30</v>
      </c>
      <c r="B130" s="293" t="s">
        <v>971</v>
      </c>
      <c r="C130" s="293" t="s">
        <v>602</v>
      </c>
      <c r="D130" s="293" t="s">
        <v>13508</v>
      </c>
      <c r="E130" s="328" t="s">
        <v>14528</v>
      </c>
      <c r="F130" s="346" t="s">
        <v>14694</v>
      </c>
      <c r="G130" s="293" t="s">
        <v>14827</v>
      </c>
      <c r="H130" s="173" t="s">
        <v>13605</v>
      </c>
      <c r="I130" s="293" t="s">
        <v>14944</v>
      </c>
      <c r="J130" s="293" t="s">
        <v>13820</v>
      </c>
      <c r="K130" s="287" t="s">
        <v>13606</v>
      </c>
      <c r="L130" s="300" t="s">
        <v>13607</v>
      </c>
      <c r="M130" s="293" t="s">
        <v>13598</v>
      </c>
    </row>
    <row r="131" spans="1:13" ht="202.5">
      <c r="A131" s="293" t="str">
        <f t="shared" si="9"/>
        <v>DefinitionsC31</v>
      </c>
      <c r="B131" s="293" t="s">
        <v>971</v>
      </c>
      <c r="C131" s="293" t="s">
        <v>14387</v>
      </c>
      <c r="D131" s="293" t="s">
        <v>13509</v>
      </c>
      <c r="E131" s="328" t="s">
        <v>13688</v>
      </c>
      <c r="F131" s="346" t="s">
        <v>14695</v>
      </c>
      <c r="G131" s="293" t="s">
        <v>14828</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6" t="s">
        <v>419</v>
      </c>
      <c r="G132" s="293" t="s">
        <v>419</v>
      </c>
      <c r="H132" s="293" t="s">
        <v>419</v>
      </c>
      <c r="I132" s="293" t="s">
        <v>419</v>
      </c>
      <c r="J132" s="293" t="s">
        <v>419</v>
      </c>
      <c r="K132" s="296" t="s">
        <v>419</v>
      </c>
      <c r="L132" s="300" t="s">
        <v>419</v>
      </c>
      <c r="M132" s="206" t="s">
        <v>419</v>
      </c>
    </row>
    <row r="133" spans="1:13" ht="28.5">
      <c r="A133" s="293" t="str">
        <f t="shared" si="9"/>
        <v>DeclarationF3</v>
      </c>
      <c r="B133" s="293" t="s">
        <v>1014</v>
      </c>
      <c r="C133" s="293" t="s">
        <v>1894</v>
      </c>
      <c r="D133" s="293" t="s">
        <v>1895</v>
      </c>
      <c r="E133" s="257" t="s">
        <v>13689</v>
      </c>
      <c r="F133" s="346" t="s">
        <v>1905</v>
      </c>
      <c r="G133" s="293" t="s">
        <v>1906</v>
      </c>
      <c r="H133" s="293" t="s">
        <v>1907</v>
      </c>
      <c r="I133" s="293" t="s">
        <v>1908</v>
      </c>
      <c r="J133" s="293" t="s">
        <v>1909</v>
      </c>
      <c r="K133" s="296" t="s">
        <v>1910</v>
      </c>
      <c r="L133" s="308" t="s">
        <v>1911</v>
      </c>
      <c r="M133" s="293" t="s">
        <v>15141</v>
      </c>
    </row>
    <row r="134" spans="1:13" ht="28.5">
      <c r="A134" s="293" t="str">
        <f t="shared" si="9"/>
        <v>DeclarationI3</v>
      </c>
      <c r="B134" s="293" t="s">
        <v>1014</v>
      </c>
      <c r="C134" s="293" t="s">
        <v>1896</v>
      </c>
      <c r="D134" s="293" t="s">
        <v>1897</v>
      </c>
      <c r="E134" s="257" t="s">
        <v>13690</v>
      </c>
      <c r="F134" s="346" t="s">
        <v>1912</v>
      </c>
      <c r="G134" s="293" t="s">
        <v>1913</v>
      </c>
      <c r="H134" s="293" t="s">
        <v>1914</v>
      </c>
      <c r="I134" s="293" t="s">
        <v>1915</v>
      </c>
      <c r="J134" s="293" t="s">
        <v>1916</v>
      </c>
      <c r="K134" s="296" t="s">
        <v>1917</v>
      </c>
      <c r="L134" s="308" t="s">
        <v>1918</v>
      </c>
      <c r="M134" s="293" t="s">
        <v>15142</v>
      </c>
    </row>
    <row r="135" spans="1:13">
      <c r="A135" s="293" t="str">
        <f t="shared" si="9"/>
        <v>DeclarationI4</v>
      </c>
      <c r="B135" s="293" t="s">
        <v>1014</v>
      </c>
      <c r="C135" s="293" t="s">
        <v>1313</v>
      </c>
      <c r="D135" s="293" t="s">
        <v>961</v>
      </c>
      <c r="F135" s="346" t="s">
        <v>1919</v>
      </c>
      <c r="G135" s="293" t="s">
        <v>1920</v>
      </c>
      <c r="H135" s="293" t="s">
        <v>1921</v>
      </c>
      <c r="I135" s="293" t="s">
        <v>1922</v>
      </c>
      <c r="J135" s="293" t="s">
        <v>1923</v>
      </c>
      <c r="K135" s="296" t="s">
        <v>1924</v>
      </c>
      <c r="L135" s="308" t="s">
        <v>1925</v>
      </c>
      <c r="M135" s="293" t="s">
        <v>15143</v>
      </c>
    </row>
    <row r="136" spans="1:13" ht="57">
      <c r="A136" s="293" t="str">
        <f t="shared" si="9"/>
        <v>DeclarationB4</v>
      </c>
      <c r="B136" s="293" t="s">
        <v>1014</v>
      </c>
      <c r="C136" s="293" t="s">
        <v>973</v>
      </c>
      <c r="D136" s="293" t="s">
        <v>863</v>
      </c>
      <c r="E136" s="328" t="s">
        <v>13691</v>
      </c>
      <c r="F136" s="346" t="s">
        <v>14696</v>
      </c>
      <c r="G136" s="293" t="s">
        <v>893</v>
      </c>
      <c r="H136" s="293" t="s">
        <v>377</v>
      </c>
      <c r="I136" s="293" t="s">
        <v>219</v>
      </c>
      <c r="J136" s="293" t="s">
        <v>1375</v>
      </c>
      <c r="K136" s="287" t="s">
        <v>334</v>
      </c>
      <c r="L136" s="300" t="s">
        <v>454</v>
      </c>
      <c r="M136" s="293" t="s">
        <v>15144</v>
      </c>
    </row>
    <row r="137" spans="1:13" ht="60">
      <c r="A137" s="293" t="str">
        <f t="shared" si="9"/>
        <v>DeclarationB6</v>
      </c>
      <c r="B137" s="293" t="s">
        <v>1014</v>
      </c>
      <c r="C137" s="293" t="s">
        <v>975</v>
      </c>
      <c r="D137" s="293" t="s">
        <v>12719</v>
      </c>
      <c r="E137" s="293" t="s">
        <v>14529</v>
      </c>
      <c r="F137" s="341" t="s">
        <v>14697</v>
      </c>
      <c r="G137" s="302" t="s">
        <v>14829</v>
      </c>
      <c r="H137" s="290" t="s">
        <v>14889</v>
      </c>
      <c r="I137" s="302" t="s">
        <v>14945</v>
      </c>
      <c r="J137" s="302" t="s">
        <v>15291</v>
      </c>
      <c r="K137" s="303" t="s">
        <v>15004</v>
      </c>
      <c r="L137" s="304" t="s">
        <v>13794</v>
      </c>
      <c r="M137" s="302" t="s">
        <v>15145</v>
      </c>
    </row>
    <row r="138" spans="1:13" ht="57">
      <c r="A138" s="293" t="str">
        <f t="shared" ref="A138:A168" si="10">B138&amp;C138</f>
        <v>DeclarationB7</v>
      </c>
      <c r="B138" s="293" t="s">
        <v>1014</v>
      </c>
      <c r="C138" s="293" t="s">
        <v>976</v>
      </c>
      <c r="D138" s="293" t="s">
        <v>1059</v>
      </c>
      <c r="E138" s="328" t="s">
        <v>940</v>
      </c>
      <c r="F138" s="346" t="s">
        <v>14698</v>
      </c>
      <c r="G138" s="293" t="s">
        <v>941</v>
      </c>
      <c r="H138" s="293" t="s">
        <v>378</v>
      </c>
      <c r="I138" s="293" t="s">
        <v>220</v>
      </c>
      <c r="J138" s="293" t="s">
        <v>1267</v>
      </c>
      <c r="K138" s="287" t="s">
        <v>335</v>
      </c>
      <c r="L138" s="300" t="s">
        <v>455</v>
      </c>
      <c r="M138" s="293" t="s">
        <v>15146</v>
      </c>
    </row>
    <row r="139" spans="1:13">
      <c r="A139" s="293" t="str">
        <f t="shared" si="10"/>
        <v>DeclarationB8</v>
      </c>
      <c r="B139" s="293" t="s">
        <v>1014</v>
      </c>
      <c r="C139" s="293" t="s">
        <v>977</v>
      </c>
      <c r="D139" s="293" t="s">
        <v>860</v>
      </c>
      <c r="E139" s="257" t="s">
        <v>13692</v>
      </c>
      <c r="F139" s="346" t="s">
        <v>14699</v>
      </c>
      <c r="G139" s="293" t="s">
        <v>1103</v>
      </c>
      <c r="H139" s="293" t="s">
        <v>894</v>
      </c>
      <c r="I139" s="293" t="s">
        <v>221</v>
      </c>
      <c r="J139" s="293" t="s">
        <v>895</v>
      </c>
      <c r="K139" s="287" t="s">
        <v>336</v>
      </c>
      <c r="L139" s="300" t="s">
        <v>456</v>
      </c>
      <c r="M139" s="293" t="s">
        <v>15147</v>
      </c>
    </row>
    <row r="140" spans="1:13">
      <c r="A140" s="293" t="str">
        <f t="shared" si="10"/>
        <v>DeclarationB9</v>
      </c>
      <c r="B140" s="293" t="s">
        <v>1014</v>
      </c>
      <c r="C140" s="293" t="s">
        <v>978</v>
      </c>
      <c r="D140" s="293" t="s">
        <v>503</v>
      </c>
      <c r="E140" s="257" t="s">
        <v>13693</v>
      </c>
      <c r="F140" s="346" t="s">
        <v>14700</v>
      </c>
      <c r="G140" s="293" t="s">
        <v>554</v>
      </c>
      <c r="H140" s="293" t="s">
        <v>896</v>
      </c>
      <c r="I140" s="293" t="s">
        <v>222</v>
      </c>
      <c r="J140" s="293" t="s">
        <v>2280</v>
      </c>
      <c r="K140" s="287" t="s">
        <v>337</v>
      </c>
      <c r="L140" s="300" t="s">
        <v>457</v>
      </c>
      <c r="M140" s="293" t="s">
        <v>15148</v>
      </c>
    </row>
    <row r="141" spans="1:13" ht="28.5">
      <c r="A141" s="293" t="str">
        <f t="shared" si="10"/>
        <v>DeclarationB10</v>
      </c>
      <c r="B141" s="293" t="s">
        <v>1014</v>
      </c>
      <c r="C141" s="293" t="s">
        <v>518</v>
      </c>
      <c r="D141" s="293" t="s">
        <v>515</v>
      </c>
      <c r="E141" s="257" t="s">
        <v>418</v>
      </c>
      <c r="F141" s="346" t="s">
        <v>14701</v>
      </c>
      <c r="G141" s="293" t="s">
        <v>555</v>
      </c>
      <c r="H141" s="293" t="s">
        <v>519</v>
      </c>
      <c r="I141" s="293" t="s">
        <v>223</v>
      </c>
      <c r="J141" s="293" t="s">
        <v>2281</v>
      </c>
      <c r="K141" s="287" t="s">
        <v>338</v>
      </c>
      <c r="L141" s="300" t="s">
        <v>522</v>
      </c>
      <c r="M141" s="293" t="s">
        <v>15149</v>
      </c>
    </row>
    <row r="142" spans="1:13" ht="28.5">
      <c r="A142" s="293" t="str">
        <f t="shared" si="10"/>
        <v>DeclarationB10A</v>
      </c>
      <c r="B142" s="293" t="s">
        <v>1014</v>
      </c>
      <c r="C142" s="293" t="s">
        <v>1460</v>
      </c>
      <c r="D142" s="293" t="s">
        <v>515</v>
      </c>
      <c r="E142" s="257" t="s">
        <v>418</v>
      </c>
      <c r="F142" s="346" t="s">
        <v>14701</v>
      </c>
      <c r="G142" s="293" t="s">
        <v>555</v>
      </c>
      <c r="H142" s="293" t="s">
        <v>519</v>
      </c>
      <c r="I142" s="293" t="s">
        <v>223</v>
      </c>
      <c r="J142" s="293" t="s">
        <v>2281</v>
      </c>
      <c r="K142" s="287" t="s">
        <v>338</v>
      </c>
      <c r="L142" s="300" t="s">
        <v>522</v>
      </c>
      <c r="M142" s="293" t="s">
        <v>15149</v>
      </c>
    </row>
    <row r="143" spans="1:13" ht="28.5">
      <c r="A143" s="293" t="str">
        <f t="shared" si="10"/>
        <v>DeclarationB10C</v>
      </c>
      <c r="B143" s="293" t="s">
        <v>1014</v>
      </c>
      <c r="C143" s="293" t="s">
        <v>1461</v>
      </c>
      <c r="D143" s="293" t="s">
        <v>516</v>
      </c>
      <c r="E143" s="257" t="s">
        <v>13694</v>
      </c>
      <c r="F143" s="346" t="s">
        <v>14702</v>
      </c>
      <c r="G143" s="293" t="s">
        <v>556</v>
      </c>
      <c r="H143" s="293" t="s">
        <v>520</v>
      </c>
      <c r="I143" s="293" t="s">
        <v>224</v>
      </c>
      <c r="J143" s="293" t="s">
        <v>2282</v>
      </c>
      <c r="K143" s="287" t="s">
        <v>339</v>
      </c>
      <c r="L143" s="300" t="s">
        <v>523</v>
      </c>
      <c r="M143" s="293" t="s">
        <v>15150</v>
      </c>
    </row>
    <row r="144" spans="1:13" ht="28.5">
      <c r="A144" s="293" t="str">
        <f t="shared" si="10"/>
        <v>DeclarationB10B</v>
      </c>
      <c r="B144" s="293" t="s">
        <v>1014</v>
      </c>
      <c r="C144" s="293" t="s">
        <v>1462</v>
      </c>
      <c r="D144" s="293" t="s">
        <v>517</v>
      </c>
      <c r="E144" s="328" t="s">
        <v>13695</v>
      </c>
      <c r="F144" s="346" t="s">
        <v>14703</v>
      </c>
      <c r="G144" s="293" t="s">
        <v>557</v>
      </c>
      <c r="H144" s="293" t="s">
        <v>379</v>
      </c>
      <c r="I144" s="293" t="s">
        <v>225</v>
      </c>
      <c r="J144" s="293" t="s">
        <v>521</v>
      </c>
      <c r="K144" s="287" t="s">
        <v>340</v>
      </c>
      <c r="L144" s="300" t="s">
        <v>524</v>
      </c>
      <c r="M144" s="293" t="s">
        <v>15151</v>
      </c>
    </row>
    <row r="145" spans="1:13" ht="28.5">
      <c r="A145" s="293" t="str">
        <f t="shared" si="10"/>
        <v>DeclarationD11</v>
      </c>
      <c r="B145" s="293" t="s">
        <v>1014</v>
      </c>
      <c r="C145" s="293" t="s">
        <v>1564</v>
      </c>
      <c r="D145" s="293" t="s">
        <v>1563</v>
      </c>
      <c r="E145" s="328" t="s">
        <v>13696</v>
      </c>
      <c r="F145" s="346" t="s">
        <v>1926</v>
      </c>
      <c r="G145" s="293" t="s">
        <v>1927</v>
      </c>
      <c r="H145" s="293" t="s">
        <v>1928</v>
      </c>
      <c r="I145" s="293" t="s">
        <v>1929</v>
      </c>
      <c r="J145" s="293" t="s">
        <v>1930</v>
      </c>
      <c r="K145" s="296" t="s">
        <v>1931</v>
      </c>
      <c r="L145" s="308" t="s">
        <v>1932</v>
      </c>
      <c r="M145" s="293" t="s">
        <v>15152</v>
      </c>
    </row>
    <row r="146" spans="1:13" ht="28.5">
      <c r="A146" s="293" t="str">
        <f t="shared" si="10"/>
        <v>DeclarationB12</v>
      </c>
      <c r="B146" s="293" t="s">
        <v>1014</v>
      </c>
      <c r="C146" s="293" t="s">
        <v>981</v>
      </c>
      <c r="D146" s="293" t="s">
        <v>472</v>
      </c>
      <c r="E146" s="328" t="s">
        <v>13697</v>
      </c>
      <c r="F146" s="346" t="s">
        <v>14704</v>
      </c>
      <c r="G146" s="293" t="s">
        <v>1104</v>
      </c>
      <c r="H146" s="293" t="s">
        <v>380</v>
      </c>
      <c r="I146" s="293" t="s">
        <v>226</v>
      </c>
      <c r="J146" s="293" t="s">
        <v>2283</v>
      </c>
      <c r="K146" s="287" t="s">
        <v>341</v>
      </c>
      <c r="L146" s="300" t="s">
        <v>13795</v>
      </c>
      <c r="M146" s="293" t="s">
        <v>15153</v>
      </c>
    </row>
    <row r="147" spans="1:13" ht="28.5">
      <c r="A147" s="293" t="str">
        <f t="shared" si="10"/>
        <v>DeclarationB13</v>
      </c>
      <c r="B147" s="293" t="s">
        <v>1014</v>
      </c>
      <c r="C147" s="293" t="s">
        <v>982</v>
      </c>
      <c r="D147" s="293" t="s">
        <v>473</v>
      </c>
      <c r="E147" s="328" t="s">
        <v>13698</v>
      </c>
      <c r="F147" s="346" t="s">
        <v>14705</v>
      </c>
      <c r="G147" s="293" t="s">
        <v>558</v>
      </c>
      <c r="H147" s="293" t="s">
        <v>381</v>
      </c>
      <c r="I147" s="293" t="s">
        <v>227</v>
      </c>
      <c r="J147" s="293" t="s">
        <v>2284</v>
      </c>
      <c r="K147" s="287" t="s">
        <v>13832</v>
      </c>
      <c r="L147" s="300" t="s">
        <v>13796</v>
      </c>
      <c r="M147" s="293" t="s">
        <v>15154</v>
      </c>
    </row>
    <row r="148" spans="1:13" ht="28.5">
      <c r="A148" s="293" t="str">
        <f t="shared" si="10"/>
        <v>DeclarationB14</v>
      </c>
      <c r="B148" s="293" t="s">
        <v>1014</v>
      </c>
      <c r="C148" s="293" t="s">
        <v>983</v>
      </c>
      <c r="D148" s="293" t="s">
        <v>857</v>
      </c>
      <c r="E148" s="257" t="s">
        <v>13699</v>
      </c>
      <c r="F148" s="346" t="s">
        <v>14706</v>
      </c>
      <c r="G148" s="293" t="s">
        <v>1105</v>
      </c>
      <c r="H148" s="293" t="s">
        <v>897</v>
      </c>
      <c r="I148" s="293" t="s">
        <v>228</v>
      </c>
      <c r="J148" s="293" t="s">
        <v>897</v>
      </c>
      <c r="K148" s="287" t="s">
        <v>342</v>
      </c>
      <c r="L148" s="300" t="s">
        <v>458</v>
      </c>
      <c r="M148" s="293" t="s">
        <v>15155</v>
      </c>
    </row>
    <row r="149" spans="1:13" ht="28.5">
      <c r="A149" s="293" t="str">
        <f t="shared" si="10"/>
        <v>DeclarationB15</v>
      </c>
      <c r="B149" s="293" t="s">
        <v>1014</v>
      </c>
      <c r="C149" s="293" t="s">
        <v>984</v>
      </c>
      <c r="D149" s="293" t="s">
        <v>474</v>
      </c>
      <c r="E149" s="257" t="s">
        <v>13700</v>
      </c>
      <c r="F149" s="346" t="s">
        <v>14707</v>
      </c>
      <c r="G149" s="293" t="s">
        <v>898</v>
      </c>
      <c r="H149" s="293" t="s">
        <v>382</v>
      </c>
      <c r="I149" s="293" t="s">
        <v>229</v>
      </c>
      <c r="J149" s="293" t="s">
        <v>2285</v>
      </c>
      <c r="K149" s="287" t="s">
        <v>13833</v>
      </c>
      <c r="L149" s="300" t="s">
        <v>175</v>
      </c>
      <c r="M149" s="293" t="s">
        <v>15156</v>
      </c>
    </row>
    <row r="150" spans="1:13" ht="28.5">
      <c r="A150" s="293" t="str">
        <f t="shared" si="10"/>
        <v>DeclarationB16</v>
      </c>
      <c r="B150" s="293" t="s">
        <v>1014</v>
      </c>
      <c r="C150" s="293" t="s">
        <v>985</v>
      </c>
      <c r="D150" s="293" t="s">
        <v>475</v>
      </c>
      <c r="E150" s="257" t="s">
        <v>13701</v>
      </c>
      <c r="F150" s="346" t="s">
        <v>14708</v>
      </c>
      <c r="G150" s="293" t="s">
        <v>1106</v>
      </c>
      <c r="H150" s="293" t="s">
        <v>383</v>
      </c>
      <c r="I150" s="293" t="s">
        <v>230</v>
      </c>
      <c r="J150" s="293" t="s">
        <v>2286</v>
      </c>
      <c r="K150" s="287" t="s">
        <v>13834</v>
      </c>
      <c r="L150" s="300" t="s">
        <v>176</v>
      </c>
      <c r="M150" s="293" t="s">
        <v>15157</v>
      </c>
    </row>
    <row r="151" spans="1:13" ht="28.5">
      <c r="A151" s="293" t="str">
        <f t="shared" si="10"/>
        <v>DeclarationB17</v>
      </c>
      <c r="B151" s="293" t="s">
        <v>1014</v>
      </c>
      <c r="C151" s="293" t="s">
        <v>986</v>
      </c>
      <c r="D151" s="293" t="s">
        <v>476</v>
      </c>
      <c r="E151" s="257" t="s">
        <v>13702</v>
      </c>
      <c r="F151" s="346" t="s">
        <v>14709</v>
      </c>
      <c r="G151" s="293" t="s">
        <v>559</v>
      </c>
      <c r="H151" s="293" t="s">
        <v>384</v>
      </c>
      <c r="I151" s="293" t="s">
        <v>231</v>
      </c>
      <c r="J151" s="293" t="s">
        <v>2287</v>
      </c>
      <c r="K151" s="287" t="s">
        <v>13835</v>
      </c>
      <c r="L151" s="300" t="s">
        <v>177</v>
      </c>
      <c r="M151" s="293" t="s">
        <v>15158</v>
      </c>
    </row>
    <row r="152" spans="1:13" ht="28.5">
      <c r="A152" s="293" t="str">
        <f t="shared" si="10"/>
        <v>DeclarationB18</v>
      </c>
      <c r="B152" s="293" t="s">
        <v>1014</v>
      </c>
      <c r="C152" s="293" t="s">
        <v>987</v>
      </c>
      <c r="D152" s="293" t="s">
        <v>507</v>
      </c>
      <c r="E152" s="257" t="s">
        <v>13703</v>
      </c>
      <c r="F152" s="346" t="s">
        <v>14710</v>
      </c>
      <c r="G152" s="293" t="s">
        <v>560</v>
      </c>
      <c r="H152" s="293" t="s">
        <v>133</v>
      </c>
      <c r="I152" s="293" t="s">
        <v>232</v>
      </c>
      <c r="J152" s="293" t="s">
        <v>1397</v>
      </c>
      <c r="K152" s="287" t="s">
        <v>13836</v>
      </c>
      <c r="L152" s="300" t="s">
        <v>178</v>
      </c>
      <c r="M152" s="293" t="s">
        <v>15159</v>
      </c>
    </row>
    <row r="153" spans="1:13" ht="28.5">
      <c r="A153" s="293" t="str">
        <f t="shared" si="10"/>
        <v>DeclarationB19</v>
      </c>
      <c r="B153" s="293" t="s">
        <v>1014</v>
      </c>
      <c r="C153" s="293" t="s">
        <v>988</v>
      </c>
      <c r="D153" s="293" t="s">
        <v>508</v>
      </c>
      <c r="E153" s="257" t="s">
        <v>13704</v>
      </c>
      <c r="F153" s="346" t="s">
        <v>14711</v>
      </c>
      <c r="G153" s="293" t="s">
        <v>561</v>
      </c>
      <c r="H153" s="293" t="s">
        <v>644</v>
      </c>
      <c r="I153" s="293" t="s">
        <v>13830</v>
      </c>
      <c r="J153" s="293" t="s">
        <v>2288</v>
      </c>
      <c r="K153" s="287" t="s">
        <v>13831</v>
      </c>
      <c r="L153" s="300" t="s">
        <v>179</v>
      </c>
      <c r="M153" s="293" t="s">
        <v>15160</v>
      </c>
    </row>
    <row r="154" spans="1:13" ht="28.5">
      <c r="A154" s="293" t="str">
        <f t="shared" si="10"/>
        <v>DeclarationB20</v>
      </c>
      <c r="B154" s="293" t="s">
        <v>1014</v>
      </c>
      <c r="C154" s="293" t="s">
        <v>989</v>
      </c>
      <c r="D154" s="293" t="s">
        <v>509</v>
      </c>
      <c r="E154" s="257" t="s">
        <v>13705</v>
      </c>
      <c r="F154" s="346" t="s">
        <v>14712</v>
      </c>
      <c r="G154" s="293" t="s">
        <v>562</v>
      </c>
      <c r="H154" s="293" t="s">
        <v>385</v>
      </c>
      <c r="I154" s="293" t="s">
        <v>233</v>
      </c>
      <c r="J154" s="293" t="s">
        <v>2289</v>
      </c>
      <c r="K154" s="287" t="s">
        <v>13837</v>
      </c>
      <c r="L154" s="300" t="s">
        <v>180</v>
      </c>
      <c r="M154" s="293" t="s">
        <v>15161</v>
      </c>
    </row>
    <row r="155" spans="1:13" ht="28.5">
      <c r="A155" s="293" t="str">
        <f t="shared" si="10"/>
        <v>DeclarationB21</v>
      </c>
      <c r="B155" s="293" t="s">
        <v>1014</v>
      </c>
      <c r="C155" s="293" t="s">
        <v>990</v>
      </c>
      <c r="D155" s="293" t="s">
        <v>14259</v>
      </c>
      <c r="E155" s="257" t="s">
        <v>14260</v>
      </c>
      <c r="F155" s="335" t="s">
        <v>14261</v>
      </c>
      <c r="G155" s="293" t="s">
        <v>14262</v>
      </c>
      <c r="H155" s="293" t="s">
        <v>386</v>
      </c>
      <c r="I155" s="293" t="s">
        <v>14263</v>
      </c>
      <c r="J155" s="293" t="s">
        <v>14264</v>
      </c>
      <c r="K155" s="287" t="s">
        <v>14265</v>
      </c>
      <c r="L155" s="300" t="s">
        <v>14266</v>
      </c>
      <c r="M155" s="293" t="s">
        <v>14267</v>
      </c>
    </row>
    <row r="156" spans="1:13" ht="28.5">
      <c r="A156" s="293" t="str">
        <f t="shared" si="10"/>
        <v>DeclarationB22</v>
      </c>
      <c r="B156" s="293" t="s">
        <v>1014</v>
      </c>
      <c r="C156" s="293" t="s">
        <v>991</v>
      </c>
      <c r="D156" s="293" t="s">
        <v>477</v>
      </c>
      <c r="E156" s="288" t="s">
        <v>13706</v>
      </c>
      <c r="F156" s="346" t="s">
        <v>14713</v>
      </c>
      <c r="G156" s="293" t="s">
        <v>563</v>
      </c>
      <c r="H156" s="293" t="s">
        <v>387</v>
      </c>
      <c r="I156" s="293" t="s">
        <v>234</v>
      </c>
      <c r="J156" s="293" t="s">
        <v>1398</v>
      </c>
      <c r="K156" s="287" t="s">
        <v>13838</v>
      </c>
      <c r="L156" s="300" t="s">
        <v>181</v>
      </c>
      <c r="M156" s="293" t="s">
        <v>15162</v>
      </c>
    </row>
    <row r="157" spans="1:13" ht="42.75">
      <c r="A157" s="293" t="str">
        <f t="shared" si="10"/>
        <v>DeclarationB24</v>
      </c>
      <c r="B157" s="293" t="s">
        <v>1014</v>
      </c>
      <c r="C157" s="293" t="s">
        <v>1019</v>
      </c>
      <c r="D157" s="293" t="s">
        <v>14399</v>
      </c>
      <c r="E157" s="257" t="s">
        <v>14400</v>
      </c>
      <c r="F157" s="346" t="s">
        <v>14714</v>
      </c>
      <c r="G157" s="293" t="s">
        <v>14401</v>
      </c>
      <c r="H157" s="293" t="s">
        <v>14402</v>
      </c>
      <c r="I157" s="293" t="s">
        <v>14403</v>
      </c>
      <c r="J157" s="293" t="s">
        <v>14404</v>
      </c>
      <c r="K157" s="287" t="s">
        <v>14405</v>
      </c>
      <c r="L157" s="300" t="s">
        <v>14406</v>
      </c>
      <c r="M157" s="293" t="s">
        <v>14407</v>
      </c>
    </row>
    <row r="158" spans="1:13" ht="30">
      <c r="A158" s="293" t="str">
        <f t="shared" si="10"/>
        <v>DeclarationB25</v>
      </c>
      <c r="B158" s="293" t="s">
        <v>1014</v>
      </c>
      <c r="C158" s="293" t="s">
        <v>486</v>
      </c>
      <c r="D158" s="295" t="s">
        <v>12744</v>
      </c>
      <c r="E158" s="258" t="s">
        <v>13707</v>
      </c>
      <c r="F158" s="341" t="s">
        <v>14715</v>
      </c>
      <c r="G158" s="302" t="s">
        <v>14830</v>
      </c>
      <c r="H158" s="302" t="s">
        <v>14890</v>
      </c>
      <c r="I158" s="302" t="s">
        <v>14946</v>
      </c>
      <c r="J158" s="302" t="s">
        <v>15292</v>
      </c>
      <c r="K158" s="303" t="s">
        <v>15005</v>
      </c>
      <c r="L158" s="304" t="s">
        <v>13797</v>
      </c>
      <c r="M158" s="302" t="s">
        <v>15163</v>
      </c>
    </row>
    <row r="159" spans="1:13" ht="28.5">
      <c r="A159" s="293" t="str">
        <f t="shared" si="10"/>
        <v>DeclarationB31</v>
      </c>
      <c r="B159" s="293" t="s">
        <v>1014</v>
      </c>
      <c r="C159" s="293" t="s">
        <v>487</v>
      </c>
      <c r="D159" s="295" t="s">
        <v>12774</v>
      </c>
      <c r="E159" s="258" t="s">
        <v>12775</v>
      </c>
      <c r="F159" s="341" t="s">
        <v>14716</v>
      </c>
      <c r="G159" s="290" t="s">
        <v>12776</v>
      </c>
      <c r="H159" s="302" t="s">
        <v>14891</v>
      </c>
      <c r="I159" s="290" t="s">
        <v>12777</v>
      </c>
      <c r="J159" s="290" t="s">
        <v>12778</v>
      </c>
      <c r="K159" s="303" t="s">
        <v>12779</v>
      </c>
      <c r="L159" s="304" t="s">
        <v>12780</v>
      </c>
      <c r="M159" s="290" t="s">
        <v>12781</v>
      </c>
    </row>
    <row r="160" spans="1:13" ht="51">
      <c r="A160" s="293" t="str">
        <f t="shared" si="10"/>
        <v>DeclarationB37</v>
      </c>
      <c r="B160" s="293" t="s">
        <v>1014</v>
      </c>
      <c r="C160" s="293" t="s">
        <v>488</v>
      </c>
      <c r="D160" s="295" t="s">
        <v>2404</v>
      </c>
      <c r="E160" s="288" t="s">
        <v>13708</v>
      </c>
      <c r="F160" s="347" t="s">
        <v>14717</v>
      </c>
      <c r="G160" s="295" t="s">
        <v>2485</v>
      </c>
      <c r="H160" s="295" t="s">
        <v>2486</v>
      </c>
      <c r="I160" s="295" t="s">
        <v>2487</v>
      </c>
      <c r="J160" s="295" t="s">
        <v>2488</v>
      </c>
      <c r="K160" s="289" t="s">
        <v>2489</v>
      </c>
      <c r="L160" s="301" t="s">
        <v>2490</v>
      </c>
      <c r="M160" s="295" t="s">
        <v>2491</v>
      </c>
    </row>
    <row r="161" spans="1:13" ht="38.25">
      <c r="A161" s="293" t="str">
        <f t="shared" si="10"/>
        <v>DeclarationB43</v>
      </c>
      <c r="B161" s="293" t="s">
        <v>1014</v>
      </c>
      <c r="C161" s="293" t="s">
        <v>489</v>
      </c>
      <c r="D161" s="295" t="s">
        <v>14280</v>
      </c>
      <c r="E161" s="295" t="s">
        <v>14530</v>
      </c>
      <c r="F161" s="347" t="s">
        <v>15486</v>
      </c>
      <c r="G161" s="295" t="s">
        <v>14831</v>
      </c>
      <c r="H161" s="295" t="s">
        <v>14892</v>
      </c>
      <c r="I161" s="295" t="s">
        <v>14947</v>
      </c>
      <c r="J161" s="295" t="s">
        <v>15325</v>
      </c>
      <c r="K161" s="295" t="s">
        <v>15006</v>
      </c>
      <c r="L161" s="295" t="s">
        <v>15066</v>
      </c>
      <c r="M161" s="295" t="s">
        <v>15164</v>
      </c>
    </row>
    <row r="162" spans="1:13" ht="45">
      <c r="A162" s="293" t="str">
        <f t="shared" si="10"/>
        <v>DeclarationB49</v>
      </c>
      <c r="B162" s="293" t="s">
        <v>1014</v>
      </c>
      <c r="C162" s="293" t="s">
        <v>490</v>
      </c>
      <c r="D162" s="295" t="s">
        <v>14271</v>
      </c>
      <c r="E162" s="288" t="s">
        <v>14272</v>
      </c>
      <c r="F162" s="347" t="s">
        <v>14718</v>
      </c>
      <c r="G162" s="295" t="s">
        <v>14273</v>
      </c>
      <c r="H162" s="295" t="s">
        <v>14274</v>
      </c>
      <c r="I162" s="295" t="s">
        <v>14275</v>
      </c>
      <c r="J162" s="295" t="s">
        <v>14276</v>
      </c>
      <c r="K162" s="289" t="s">
        <v>14277</v>
      </c>
      <c r="L162" s="301" t="s">
        <v>14278</v>
      </c>
      <c r="M162" s="295" t="s">
        <v>14279</v>
      </c>
    </row>
    <row r="163" spans="1:13" ht="30">
      <c r="A163" s="293" t="str">
        <f t="shared" si="10"/>
        <v>DeclarationB55</v>
      </c>
      <c r="B163" s="293" t="s">
        <v>1014</v>
      </c>
      <c r="C163" s="293" t="s">
        <v>491</v>
      </c>
      <c r="D163" s="295" t="s">
        <v>14281</v>
      </c>
      <c r="E163" s="329" t="s">
        <v>14531</v>
      </c>
      <c r="F163" s="344" t="s">
        <v>14282</v>
      </c>
      <c r="G163" s="290" t="s">
        <v>14283</v>
      </c>
      <c r="H163" s="290" t="s">
        <v>14284</v>
      </c>
      <c r="I163" s="290" t="s">
        <v>14285</v>
      </c>
      <c r="J163" s="290" t="s">
        <v>14286</v>
      </c>
      <c r="K163" s="303" t="s">
        <v>14287</v>
      </c>
      <c r="L163" s="304" t="s">
        <v>14288</v>
      </c>
      <c r="M163" s="290" t="s">
        <v>14289</v>
      </c>
    </row>
    <row r="164" spans="1:13" ht="38.25">
      <c r="A164" s="293" t="str">
        <f t="shared" si="10"/>
        <v>DeclarationB61</v>
      </c>
      <c r="B164" s="293" t="s">
        <v>1014</v>
      </c>
      <c r="C164" s="293" t="s">
        <v>1022</v>
      </c>
      <c r="D164" s="295" t="s">
        <v>14290</v>
      </c>
      <c r="E164" s="327" t="s">
        <v>14291</v>
      </c>
      <c r="F164" s="347" t="s">
        <v>14719</v>
      </c>
      <c r="G164" s="295" t="s">
        <v>14292</v>
      </c>
      <c r="H164" s="295" t="s">
        <v>14293</v>
      </c>
      <c r="I164" s="295" t="s">
        <v>14294</v>
      </c>
      <c r="J164" s="295" t="s">
        <v>14295</v>
      </c>
      <c r="K164" s="289" t="s">
        <v>14296</v>
      </c>
      <c r="L164" s="301" t="s">
        <v>14297</v>
      </c>
      <c r="M164" s="295" t="s">
        <v>14298</v>
      </c>
    </row>
    <row r="165" spans="1:13" ht="38.25">
      <c r="A165" s="293" t="str">
        <f t="shared" si="10"/>
        <v>DeclarationB67</v>
      </c>
      <c r="B165" s="293" t="s">
        <v>1014</v>
      </c>
      <c r="C165" s="293" t="s">
        <v>1272</v>
      </c>
      <c r="D165" s="295" t="s">
        <v>14299</v>
      </c>
      <c r="E165" s="327" t="s">
        <v>14300</v>
      </c>
      <c r="F165" s="347" t="s">
        <v>14720</v>
      </c>
      <c r="G165" s="295" t="s">
        <v>14301</v>
      </c>
      <c r="H165" s="295" t="s">
        <v>14302</v>
      </c>
      <c r="I165" s="295" t="s">
        <v>14303</v>
      </c>
      <c r="J165" s="295" t="s">
        <v>14304</v>
      </c>
      <c r="K165" s="289" t="s">
        <v>14305</v>
      </c>
      <c r="L165" s="301" t="s">
        <v>14306</v>
      </c>
      <c r="M165" s="295" t="s">
        <v>14307</v>
      </c>
    </row>
    <row r="166" spans="1:13" ht="28.5">
      <c r="A166" s="293" t="str">
        <f t="shared" si="10"/>
        <v>DeclarationB73</v>
      </c>
      <c r="B166" s="293" t="s">
        <v>1014</v>
      </c>
      <c r="C166" s="293" t="s">
        <v>1282</v>
      </c>
      <c r="D166" s="293" t="s">
        <v>1060</v>
      </c>
      <c r="E166" s="328" t="s">
        <v>13709</v>
      </c>
      <c r="F166" s="346" t="s">
        <v>14721</v>
      </c>
      <c r="G166" s="293" t="s">
        <v>942</v>
      </c>
      <c r="H166" s="293" t="s">
        <v>1260</v>
      </c>
      <c r="I166" s="293" t="s">
        <v>235</v>
      </c>
      <c r="J166" s="293" t="s">
        <v>1268</v>
      </c>
      <c r="K166" s="287" t="s">
        <v>271</v>
      </c>
      <c r="L166" s="300" t="s">
        <v>636</v>
      </c>
      <c r="M166" s="293" t="s">
        <v>15165</v>
      </c>
    </row>
    <row r="167" spans="1:13" ht="28.5">
      <c r="A167" s="293" t="str">
        <f t="shared" si="10"/>
        <v>DeclarationB75</v>
      </c>
      <c r="B167" s="293" t="s">
        <v>1014</v>
      </c>
      <c r="C167" s="293" t="s">
        <v>1283</v>
      </c>
      <c r="D167" s="293" t="s">
        <v>15294</v>
      </c>
      <c r="E167" s="293" t="s">
        <v>14532</v>
      </c>
      <c r="F167" s="346" t="s">
        <v>14722</v>
      </c>
      <c r="G167" s="293" t="s">
        <v>14831</v>
      </c>
      <c r="H167" s="293" t="s">
        <v>14893</v>
      </c>
      <c r="I167" s="293" t="s">
        <v>14948</v>
      </c>
      <c r="J167" s="293" t="s">
        <v>15293</v>
      </c>
      <c r="K167" s="293" t="s">
        <v>15007</v>
      </c>
      <c r="L167" s="293" t="s">
        <v>15067</v>
      </c>
      <c r="M167" s="293" t="s">
        <v>15166</v>
      </c>
    </row>
    <row r="168" spans="1:13" ht="71.25">
      <c r="A168" s="293" t="str">
        <f t="shared" si="10"/>
        <v>DeclarationB77</v>
      </c>
      <c r="B168" s="293" t="s">
        <v>1014</v>
      </c>
      <c r="C168" s="293" t="s">
        <v>1284</v>
      </c>
      <c r="D168" s="293" t="s">
        <v>15296</v>
      </c>
      <c r="E168" s="293" t="s">
        <v>14533</v>
      </c>
      <c r="F168" s="346" t="s">
        <v>14723</v>
      </c>
      <c r="G168" s="293" t="s">
        <v>14832</v>
      </c>
      <c r="H168" s="293" t="s">
        <v>14894</v>
      </c>
      <c r="I168" s="293" t="s">
        <v>14949</v>
      </c>
      <c r="J168" s="293" t="s">
        <v>15295</v>
      </c>
      <c r="K168" s="293" t="s">
        <v>15008</v>
      </c>
      <c r="L168" s="293" t="s">
        <v>15068</v>
      </c>
      <c r="M168" s="293" t="s">
        <v>15167</v>
      </c>
    </row>
    <row r="169" spans="1:13" ht="51">
      <c r="A169" s="293" t="str">
        <f t="shared" ref="A169" si="11">B169&amp;C169</f>
        <v>DeclarationB79</v>
      </c>
      <c r="B169" s="293" t="s">
        <v>1014</v>
      </c>
      <c r="C169" s="293" t="s">
        <v>492</v>
      </c>
      <c r="D169" s="295" t="s">
        <v>14309</v>
      </c>
      <c r="E169" s="327" t="s">
        <v>14310</v>
      </c>
      <c r="F169" s="347" t="s">
        <v>15487</v>
      </c>
      <c r="G169" s="295" t="s">
        <v>14311</v>
      </c>
      <c r="H169" s="295" t="s">
        <v>14312</v>
      </c>
      <c r="I169" s="295" t="s">
        <v>14313</v>
      </c>
      <c r="J169" s="295" t="s">
        <v>14314</v>
      </c>
      <c r="K169" s="289" t="s">
        <v>14315</v>
      </c>
      <c r="L169" s="301" t="s">
        <v>14316</v>
      </c>
      <c r="M169" s="295" t="s">
        <v>14317</v>
      </c>
    </row>
    <row r="170" spans="1:13" ht="38.25">
      <c r="A170" s="293" t="str">
        <f t="shared" ref="A170:A205" si="12">B170&amp;C170</f>
        <v>DeclarationB81</v>
      </c>
      <c r="B170" s="293" t="s">
        <v>1014</v>
      </c>
      <c r="C170" s="293" t="s">
        <v>493</v>
      </c>
      <c r="D170" s="295" t="s">
        <v>15327</v>
      </c>
      <c r="E170" s="295" t="s">
        <v>14534</v>
      </c>
      <c r="F170" s="347" t="s">
        <v>15488</v>
      </c>
      <c r="G170" s="295" t="s">
        <v>14833</v>
      </c>
      <c r="H170" s="295" t="s">
        <v>14895</v>
      </c>
      <c r="I170" s="295" t="s">
        <v>14950</v>
      </c>
      <c r="J170" s="295" t="s">
        <v>15326</v>
      </c>
      <c r="K170" s="295" t="s">
        <v>15009</v>
      </c>
      <c r="L170" s="295" t="s">
        <v>15069</v>
      </c>
      <c r="M170" s="295" t="s">
        <v>15168</v>
      </c>
    </row>
    <row r="171" spans="1:13" ht="45">
      <c r="A171" s="293" t="str">
        <f t="shared" si="12"/>
        <v>DeclarationB83</v>
      </c>
      <c r="B171" s="293" t="s">
        <v>1014</v>
      </c>
      <c r="C171" s="293" t="s">
        <v>494</v>
      </c>
      <c r="D171" s="295" t="s">
        <v>14318</v>
      </c>
      <c r="E171" s="329" t="s">
        <v>14319</v>
      </c>
      <c r="F171" s="341" t="s">
        <v>14724</v>
      </c>
      <c r="G171" s="290" t="s">
        <v>14320</v>
      </c>
      <c r="H171" s="290" t="s">
        <v>14321</v>
      </c>
      <c r="I171" s="290" t="s">
        <v>14322</v>
      </c>
      <c r="J171" s="290" t="s">
        <v>14323</v>
      </c>
      <c r="K171" s="303" t="s">
        <v>14324</v>
      </c>
      <c r="L171" s="304" t="s">
        <v>14325</v>
      </c>
      <c r="M171" s="290" t="s">
        <v>14326</v>
      </c>
    </row>
    <row r="172" spans="1:13" ht="42.75">
      <c r="A172" s="293" t="str">
        <f t="shared" si="12"/>
        <v>DeclarationB85</v>
      </c>
      <c r="B172" s="293" t="s">
        <v>1014</v>
      </c>
      <c r="C172" s="293" t="s">
        <v>495</v>
      </c>
      <c r="D172" s="293" t="s">
        <v>14327</v>
      </c>
      <c r="E172" s="328" t="s">
        <v>14328</v>
      </c>
      <c r="F172" s="346" t="s">
        <v>15489</v>
      </c>
      <c r="G172" s="293" t="s">
        <v>14329</v>
      </c>
      <c r="H172" s="293" t="s">
        <v>14330</v>
      </c>
      <c r="I172" s="293" t="s">
        <v>14331</v>
      </c>
      <c r="J172" s="293" t="s">
        <v>14332</v>
      </c>
      <c r="K172" s="287" t="s">
        <v>14333</v>
      </c>
      <c r="L172" s="300" t="s">
        <v>14334</v>
      </c>
      <c r="M172" s="293" t="s">
        <v>14335</v>
      </c>
    </row>
    <row r="173" spans="1:13" ht="42.75">
      <c r="A173" s="293" t="str">
        <f t="shared" si="12"/>
        <v>DeclarationB87</v>
      </c>
      <c r="B173" s="293" t="s">
        <v>1014</v>
      </c>
      <c r="C173" s="293" t="s">
        <v>14269</v>
      </c>
      <c r="D173" s="293" t="s">
        <v>14336</v>
      </c>
      <c r="E173" s="328" t="s">
        <v>14337</v>
      </c>
      <c r="F173" s="346" t="s">
        <v>14725</v>
      </c>
      <c r="G173" s="293" t="s">
        <v>14338</v>
      </c>
      <c r="H173" s="293" t="s">
        <v>14339</v>
      </c>
      <c r="I173" s="293" t="s">
        <v>14340</v>
      </c>
      <c r="J173" s="293" t="s">
        <v>14341</v>
      </c>
      <c r="K173" s="287" t="s">
        <v>14342</v>
      </c>
      <c r="L173" s="300" t="s">
        <v>14343</v>
      </c>
      <c r="M173" s="293" t="s">
        <v>14344</v>
      </c>
    </row>
    <row r="174" spans="1:13" ht="30">
      <c r="A174" s="293" t="str">
        <f t="shared" si="12"/>
        <v>DeclarationB89</v>
      </c>
      <c r="B174" s="293" t="s">
        <v>1014</v>
      </c>
      <c r="C174" s="293" t="s">
        <v>14270</v>
      </c>
      <c r="D174" s="293" t="s">
        <v>14434</v>
      </c>
      <c r="E174" s="333" t="s">
        <v>15443</v>
      </c>
      <c r="F174" s="341" t="s">
        <v>15490</v>
      </c>
      <c r="G174" s="333" t="s">
        <v>15444</v>
      </c>
      <c r="H174" s="333" t="s">
        <v>15445</v>
      </c>
      <c r="I174" s="333" t="s">
        <v>15446</v>
      </c>
      <c r="J174" s="333" t="s">
        <v>15447</v>
      </c>
      <c r="K174" s="333" t="s">
        <v>15448</v>
      </c>
      <c r="L174" s="333" t="s">
        <v>15449</v>
      </c>
      <c r="M174" s="333" t="s">
        <v>15450</v>
      </c>
    </row>
    <row r="175" spans="1:13" ht="28.5">
      <c r="A175" s="293" t="str">
        <f t="shared" si="12"/>
        <v>DeclarationD25</v>
      </c>
      <c r="B175" s="293" t="s">
        <v>1014</v>
      </c>
      <c r="C175" s="293" t="s">
        <v>533</v>
      </c>
      <c r="D175" s="293" t="s">
        <v>859</v>
      </c>
      <c r="E175" s="257" t="s">
        <v>885</v>
      </c>
      <c r="F175" s="346" t="s">
        <v>885</v>
      </c>
      <c r="G175" s="293" t="s">
        <v>1107</v>
      </c>
      <c r="H175" s="293" t="s">
        <v>1261</v>
      </c>
      <c r="I175" s="293" t="s">
        <v>943</v>
      </c>
      <c r="J175" s="293" t="s">
        <v>944</v>
      </c>
      <c r="K175" s="287" t="s">
        <v>945</v>
      </c>
      <c r="L175" s="300" t="s">
        <v>460</v>
      </c>
      <c r="M175" s="293" t="s">
        <v>15169</v>
      </c>
    </row>
    <row r="176" spans="1:13" ht="28.5">
      <c r="A176" s="293" t="str">
        <f t="shared" si="12"/>
        <v>DeclarationB74</v>
      </c>
      <c r="B176" s="293" t="s">
        <v>1014</v>
      </c>
      <c r="C176" s="293" t="s">
        <v>14268</v>
      </c>
      <c r="D176" s="293" t="s">
        <v>1061</v>
      </c>
      <c r="E176" s="257" t="s">
        <v>955</v>
      </c>
      <c r="F176" s="346" t="s">
        <v>14726</v>
      </c>
      <c r="G176" s="293" t="s">
        <v>956</v>
      </c>
      <c r="H176" s="293" t="s">
        <v>1061</v>
      </c>
      <c r="I176" s="293" t="s">
        <v>957</v>
      </c>
      <c r="J176" s="293" t="s">
        <v>958</v>
      </c>
      <c r="K176" s="287" t="s">
        <v>954</v>
      </c>
      <c r="L176" s="300" t="s">
        <v>459</v>
      </c>
      <c r="M176" s="293" t="s">
        <v>15170</v>
      </c>
    </row>
    <row r="177" spans="1:13" ht="28.5">
      <c r="A177" s="293" t="str">
        <f t="shared" si="12"/>
        <v>DeclarationG25</v>
      </c>
      <c r="B177" s="293" t="s">
        <v>1014</v>
      </c>
      <c r="C177" s="293" t="s">
        <v>534</v>
      </c>
      <c r="D177" s="293" t="s">
        <v>858</v>
      </c>
      <c r="E177" s="257" t="s">
        <v>886</v>
      </c>
      <c r="F177" s="346" t="s">
        <v>14727</v>
      </c>
      <c r="G177" s="293" t="s">
        <v>946</v>
      </c>
      <c r="H177" s="293" t="s">
        <v>947</v>
      </c>
      <c r="I177" s="293" t="s">
        <v>948</v>
      </c>
      <c r="J177" s="293" t="s">
        <v>1050</v>
      </c>
      <c r="K177" s="287" t="s">
        <v>949</v>
      </c>
      <c r="L177" s="300" t="s">
        <v>461</v>
      </c>
      <c r="M177" s="293" t="s">
        <v>15171</v>
      </c>
    </row>
    <row r="178" spans="1:13" ht="28.5">
      <c r="A178" s="293" t="str">
        <f t="shared" si="12"/>
        <v>DeclarationB26</v>
      </c>
      <c r="B178" s="293" t="s">
        <v>1014</v>
      </c>
      <c r="C178" s="293" t="s">
        <v>525</v>
      </c>
      <c r="D178" s="293" t="s">
        <v>1285</v>
      </c>
      <c r="E178" s="257" t="s">
        <v>13710</v>
      </c>
      <c r="F178" s="346" t="s">
        <v>14728</v>
      </c>
      <c r="G178" s="293" t="s">
        <v>1286</v>
      </c>
      <c r="H178" s="293" t="s">
        <v>1287</v>
      </c>
      <c r="I178" s="293" t="s">
        <v>236</v>
      </c>
      <c r="J178" s="293" t="s">
        <v>1288</v>
      </c>
      <c r="K178" s="287" t="s">
        <v>1289</v>
      </c>
      <c r="L178" s="300" t="s">
        <v>1289</v>
      </c>
      <c r="M178" s="293" t="s">
        <v>15172</v>
      </c>
    </row>
    <row r="179" spans="1:13" ht="28.5">
      <c r="A179" s="293" t="str">
        <f t="shared" si="12"/>
        <v>DeclarationB27</v>
      </c>
      <c r="B179" s="293" t="s">
        <v>1014</v>
      </c>
      <c r="C179" s="293" t="s">
        <v>526</v>
      </c>
      <c r="D179" s="293" t="s">
        <v>1290</v>
      </c>
      <c r="E179" s="257" t="s">
        <v>13711</v>
      </c>
      <c r="F179" s="346" t="s">
        <v>14729</v>
      </c>
      <c r="G179" s="293" t="s">
        <v>1291</v>
      </c>
      <c r="H179" s="293" t="s">
        <v>1292</v>
      </c>
      <c r="I179" s="293" t="s">
        <v>237</v>
      </c>
      <c r="J179" s="293" t="s">
        <v>1293</v>
      </c>
      <c r="K179" s="287" t="s">
        <v>1294</v>
      </c>
      <c r="L179" s="300" t="s">
        <v>1295</v>
      </c>
      <c r="M179" s="293" t="s">
        <v>15173</v>
      </c>
    </row>
    <row r="180" spans="1:13" ht="28.5">
      <c r="A180" s="293" t="str">
        <f t="shared" si="12"/>
        <v>DeclarationB28</v>
      </c>
      <c r="B180" s="293" t="s">
        <v>1014</v>
      </c>
      <c r="C180" s="293" t="s">
        <v>527</v>
      </c>
      <c r="D180" s="293" t="s">
        <v>1296</v>
      </c>
      <c r="E180" s="257" t="s">
        <v>1297</v>
      </c>
      <c r="F180" s="346" t="s">
        <v>1297</v>
      </c>
      <c r="G180" s="293" t="s">
        <v>1298</v>
      </c>
      <c r="H180" s="293" t="s">
        <v>1299</v>
      </c>
      <c r="I180" s="293" t="s">
        <v>238</v>
      </c>
      <c r="J180" s="293" t="s">
        <v>1296</v>
      </c>
      <c r="K180" s="287" t="s">
        <v>1300</v>
      </c>
      <c r="L180" s="300" t="s">
        <v>1300</v>
      </c>
      <c r="M180" s="293" t="s">
        <v>15174</v>
      </c>
    </row>
    <row r="181" spans="1:13" ht="28.5">
      <c r="A181" s="293" t="str">
        <f t="shared" si="12"/>
        <v>DeclarationB29</v>
      </c>
      <c r="B181" s="293" t="s">
        <v>1014</v>
      </c>
      <c r="C181" s="293" t="s">
        <v>528</v>
      </c>
      <c r="D181" s="293" t="s">
        <v>1301</v>
      </c>
      <c r="E181" s="288" t="s">
        <v>13712</v>
      </c>
      <c r="F181" s="346" t="s">
        <v>14730</v>
      </c>
      <c r="G181" s="293" t="s">
        <v>1302</v>
      </c>
      <c r="H181" s="293" t="s">
        <v>1303</v>
      </c>
      <c r="I181" s="293" t="s">
        <v>239</v>
      </c>
      <c r="J181" s="293" t="s">
        <v>1304</v>
      </c>
      <c r="K181" s="287" t="s">
        <v>1305</v>
      </c>
      <c r="L181" s="300" t="s">
        <v>1305</v>
      </c>
      <c r="M181" s="293" t="s">
        <v>15175</v>
      </c>
    </row>
    <row r="182" spans="1:13" ht="28.5">
      <c r="A182" s="293" t="str">
        <f t="shared" si="12"/>
        <v>DeclarationB38</v>
      </c>
      <c r="B182" s="293" t="s">
        <v>1014</v>
      </c>
      <c r="C182" s="293" t="s">
        <v>529</v>
      </c>
      <c r="D182" s="293" t="s">
        <v>1285</v>
      </c>
      <c r="E182" s="288" t="s">
        <v>13710</v>
      </c>
      <c r="F182" s="346" t="s">
        <v>14728</v>
      </c>
      <c r="G182" s="293" t="s">
        <v>1286</v>
      </c>
      <c r="H182" s="293" t="s">
        <v>1287</v>
      </c>
      <c r="I182" s="293" t="s">
        <v>236</v>
      </c>
      <c r="J182" s="293" t="s">
        <v>1288</v>
      </c>
      <c r="K182" s="287" t="s">
        <v>1289</v>
      </c>
      <c r="L182" s="300" t="s">
        <v>1289</v>
      </c>
      <c r="M182" s="293" t="s">
        <v>15172</v>
      </c>
    </row>
    <row r="183" spans="1:13" ht="28.5">
      <c r="A183" s="293" t="str">
        <f t="shared" si="12"/>
        <v>DeclarationB39</v>
      </c>
      <c r="B183" s="293" t="s">
        <v>1014</v>
      </c>
      <c r="C183" s="293" t="s">
        <v>530</v>
      </c>
      <c r="D183" s="293" t="s">
        <v>1290</v>
      </c>
      <c r="E183" s="288" t="s">
        <v>13711</v>
      </c>
      <c r="F183" s="346" t="s">
        <v>14729</v>
      </c>
      <c r="G183" s="293" t="s">
        <v>1291</v>
      </c>
      <c r="H183" s="293" t="s">
        <v>1292</v>
      </c>
      <c r="I183" s="293" t="s">
        <v>237</v>
      </c>
      <c r="J183" s="293" t="s">
        <v>1293</v>
      </c>
      <c r="K183" s="287" t="s">
        <v>1294</v>
      </c>
      <c r="L183" s="300" t="s">
        <v>1295</v>
      </c>
      <c r="M183" s="293" t="s">
        <v>15173</v>
      </c>
    </row>
    <row r="184" spans="1:13" ht="28.5">
      <c r="A184" s="293" t="str">
        <f t="shared" si="12"/>
        <v>DeclarationB40</v>
      </c>
      <c r="B184" s="293" t="s">
        <v>1014</v>
      </c>
      <c r="C184" s="293" t="s">
        <v>531</v>
      </c>
      <c r="D184" s="293" t="s">
        <v>1296</v>
      </c>
      <c r="E184" s="288" t="s">
        <v>1297</v>
      </c>
      <c r="F184" s="346" t="s">
        <v>1297</v>
      </c>
      <c r="G184" s="293" t="s">
        <v>1298</v>
      </c>
      <c r="H184" s="293" t="s">
        <v>1299</v>
      </c>
      <c r="I184" s="293" t="s">
        <v>238</v>
      </c>
      <c r="J184" s="293" t="s">
        <v>1296</v>
      </c>
      <c r="K184" s="287" t="s">
        <v>1300</v>
      </c>
      <c r="L184" s="300" t="s">
        <v>1300</v>
      </c>
      <c r="M184" s="293" t="s">
        <v>15174</v>
      </c>
    </row>
    <row r="185" spans="1:13" ht="28.5">
      <c r="A185" s="293" t="str">
        <f t="shared" si="12"/>
        <v>DeclarationB41</v>
      </c>
      <c r="B185" s="293" t="s">
        <v>1014</v>
      </c>
      <c r="C185" s="293" t="s">
        <v>532</v>
      </c>
      <c r="D185" s="293" t="s">
        <v>1301</v>
      </c>
      <c r="E185" s="288" t="s">
        <v>13712</v>
      </c>
      <c r="F185" s="346" t="s">
        <v>14730</v>
      </c>
      <c r="G185" s="293" t="s">
        <v>1302</v>
      </c>
      <c r="H185" s="293" t="s">
        <v>1303</v>
      </c>
      <c r="I185" s="293" t="s">
        <v>239</v>
      </c>
      <c r="J185" s="293" t="s">
        <v>1304</v>
      </c>
      <c r="K185" s="287" t="s">
        <v>1305</v>
      </c>
      <c r="L185" s="300" t="s">
        <v>1305</v>
      </c>
      <c r="M185" s="293" t="s">
        <v>15175</v>
      </c>
    </row>
    <row r="186" spans="1:13" ht="28.5">
      <c r="A186" s="293" t="str">
        <f t="shared" si="12"/>
        <v>DeclarationB44</v>
      </c>
      <c r="B186" s="293" t="s">
        <v>1014</v>
      </c>
      <c r="C186" s="293" t="s">
        <v>14413</v>
      </c>
      <c r="D186" s="293" t="s">
        <v>1285</v>
      </c>
      <c r="E186" s="288" t="s">
        <v>13710</v>
      </c>
      <c r="F186" s="346" t="s">
        <v>14728</v>
      </c>
      <c r="G186" s="293" t="s">
        <v>1286</v>
      </c>
      <c r="H186" s="293" t="s">
        <v>1287</v>
      </c>
      <c r="I186" s="293" t="s">
        <v>236</v>
      </c>
      <c r="J186" s="293" t="s">
        <v>1288</v>
      </c>
      <c r="K186" s="287" t="s">
        <v>1289</v>
      </c>
      <c r="L186" s="300" t="s">
        <v>1289</v>
      </c>
      <c r="M186" s="293" t="s">
        <v>15172</v>
      </c>
    </row>
    <row r="187" spans="1:13" ht="28.5">
      <c r="A187" s="293" t="str">
        <f t="shared" si="12"/>
        <v>DeclarationB45</v>
      </c>
      <c r="B187" s="293" t="s">
        <v>1014</v>
      </c>
      <c r="C187" s="293" t="s">
        <v>14414</v>
      </c>
      <c r="D187" s="293" t="s">
        <v>1290</v>
      </c>
      <c r="E187" s="288" t="s">
        <v>13711</v>
      </c>
      <c r="F187" s="346" t="s">
        <v>14729</v>
      </c>
      <c r="G187" s="293" t="s">
        <v>1291</v>
      </c>
      <c r="H187" s="293" t="s">
        <v>1292</v>
      </c>
      <c r="I187" s="293" t="s">
        <v>237</v>
      </c>
      <c r="J187" s="293" t="s">
        <v>1293</v>
      </c>
      <c r="K187" s="287" t="s">
        <v>1294</v>
      </c>
      <c r="L187" s="300" t="s">
        <v>1295</v>
      </c>
      <c r="M187" s="293" t="s">
        <v>15173</v>
      </c>
    </row>
    <row r="188" spans="1:13" ht="28.5">
      <c r="A188" s="293" t="str">
        <f t="shared" si="12"/>
        <v>DeclarationB46</v>
      </c>
      <c r="B188" s="293" t="s">
        <v>1014</v>
      </c>
      <c r="C188" s="293" t="s">
        <v>14415</v>
      </c>
      <c r="D188" s="293" t="s">
        <v>1296</v>
      </c>
      <c r="E188" s="288" t="s">
        <v>1297</v>
      </c>
      <c r="F188" s="346" t="s">
        <v>1297</v>
      </c>
      <c r="G188" s="293" t="s">
        <v>1298</v>
      </c>
      <c r="H188" s="293" t="s">
        <v>1299</v>
      </c>
      <c r="I188" s="293" t="s">
        <v>238</v>
      </c>
      <c r="J188" s="293" t="s">
        <v>1296</v>
      </c>
      <c r="K188" s="287" t="s">
        <v>1300</v>
      </c>
      <c r="L188" s="300" t="s">
        <v>1300</v>
      </c>
      <c r="M188" s="293" t="s">
        <v>15174</v>
      </c>
    </row>
    <row r="189" spans="1:13" ht="28.5">
      <c r="A189" s="293" t="str">
        <f t="shared" si="12"/>
        <v>DeclarationB47</v>
      </c>
      <c r="B189" s="293" t="s">
        <v>1014</v>
      </c>
      <c r="C189" s="293" t="s">
        <v>14416</v>
      </c>
      <c r="D189" s="293" t="s">
        <v>1301</v>
      </c>
      <c r="E189" s="288" t="s">
        <v>13712</v>
      </c>
      <c r="F189" s="346" t="s">
        <v>14730</v>
      </c>
      <c r="G189" s="293" t="s">
        <v>1302</v>
      </c>
      <c r="H189" s="293" t="s">
        <v>1303</v>
      </c>
      <c r="I189" s="293" t="s">
        <v>239</v>
      </c>
      <c r="J189" s="293" t="s">
        <v>1304</v>
      </c>
      <c r="K189" s="287" t="s">
        <v>1305</v>
      </c>
      <c r="L189" s="300" t="s">
        <v>1305</v>
      </c>
      <c r="M189" s="293" t="s">
        <v>15175</v>
      </c>
    </row>
    <row r="190" spans="1:13" ht="28.5">
      <c r="A190" s="293" t="str">
        <f t="shared" si="12"/>
        <v>DeclarationAth</v>
      </c>
      <c r="B190" s="293" t="s">
        <v>1014</v>
      </c>
      <c r="C190" s="293" t="s">
        <v>1306</v>
      </c>
      <c r="D190" s="293" t="s">
        <v>856</v>
      </c>
      <c r="E190" s="257" t="s">
        <v>13713</v>
      </c>
      <c r="F190" s="346" t="s">
        <v>14731</v>
      </c>
      <c r="G190" s="293" t="s">
        <v>950</v>
      </c>
      <c r="H190" s="293" t="s">
        <v>951</v>
      </c>
      <c r="I190" s="293" t="s">
        <v>952</v>
      </c>
      <c r="J190" s="293" t="s">
        <v>1269</v>
      </c>
      <c r="K190" s="287" t="s">
        <v>953</v>
      </c>
      <c r="L190" s="300" t="s">
        <v>462</v>
      </c>
      <c r="M190" s="293" t="s">
        <v>15176</v>
      </c>
    </row>
    <row r="191" spans="1:13" ht="28.5">
      <c r="A191" s="293" t="str">
        <f t="shared" si="12"/>
        <v>DeclarationB96</v>
      </c>
      <c r="B191" s="293" t="s">
        <v>1014</v>
      </c>
      <c r="C191" s="293" t="s">
        <v>12722</v>
      </c>
      <c r="D191" s="293" t="s">
        <v>498</v>
      </c>
      <c r="E191" s="257" t="s">
        <v>13714</v>
      </c>
      <c r="F191" s="346" t="s">
        <v>14732</v>
      </c>
      <c r="G191" s="293" t="s">
        <v>564</v>
      </c>
      <c r="H191" s="293" t="s">
        <v>388</v>
      </c>
      <c r="I191" s="293" t="s">
        <v>240</v>
      </c>
      <c r="J191" s="293" t="s">
        <v>17</v>
      </c>
      <c r="K191" s="287" t="s">
        <v>272</v>
      </c>
      <c r="L191" s="300" t="s">
        <v>182</v>
      </c>
      <c r="M191" s="293" t="s">
        <v>15177</v>
      </c>
    </row>
    <row r="192" spans="1:13" ht="28.5">
      <c r="A192" s="293" t="str">
        <f t="shared" si="12"/>
        <v>DeclarationB97</v>
      </c>
      <c r="B192" s="293" t="s">
        <v>1014</v>
      </c>
      <c r="C192" s="293" t="s">
        <v>12723</v>
      </c>
      <c r="D192" s="293" t="s">
        <v>499</v>
      </c>
      <c r="E192" s="257" t="s">
        <v>13715</v>
      </c>
      <c r="F192" s="346" t="s">
        <v>14733</v>
      </c>
      <c r="G192" s="293" t="s">
        <v>565</v>
      </c>
      <c r="H192" s="293" t="s">
        <v>499</v>
      </c>
      <c r="I192" s="293" t="s">
        <v>241</v>
      </c>
      <c r="J192" s="293" t="s">
        <v>18</v>
      </c>
      <c r="K192" s="287" t="s">
        <v>499</v>
      </c>
      <c r="L192" s="300" t="s">
        <v>183</v>
      </c>
      <c r="M192" s="293" t="s">
        <v>15178</v>
      </c>
    </row>
    <row r="193" spans="1:13" ht="28.5">
      <c r="A193" s="293" t="str">
        <f t="shared" si="12"/>
        <v>DeclarationB98</v>
      </c>
      <c r="B193" s="293" t="s">
        <v>1014</v>
      </c>
      <c r="C193" s="293" t="s">
        <v>12724</v>
      </c>
      <c r="D193" s="293" t="s">
        <v>500</v>
      </c>
      <c r="E193" s="288" t="s">
        <v>13716</v>
      </c>
      <c r="F193" s="346" t="s">
        <v>14734</v>
      </c>
      <c r="G193" s="293" t="s">
        <v>566</v>
      </c>
      <c r="H193" s="293" t="s">
        <v>389</v>
      </c>
      <c r="I193" s="293" t="s">
        <v>242</v>
      </c>
      <c r="J193" s="293" t="s">
        <v>19</v>
      </c>
      <c r="K193" s="287" t="s">
        <v>273</v>
      </c>
      <c r="L193" s="300" t="s">
        <v>184</v>
      </c>
      <c r="M193" s="293" t="s">
        <v>15179</v>
      </c>
    </row>
    <row r="194" spans="1:13" ht="28.5">
      <c r="A194" s="293" t="str">
        <f t="shared" si="12"/>
        <v>DeclarationB99</v>
      </c>
      <c r="B194" s="293" t="s">
        <v>1014</v>
      </c>
      <c r="C194" s="293" t="s">
        <v>12725</v>
      </c>
      <c r="D194" s="256">
        <v>1</v>
      </c>
      <c r="E194" s="259">
        <v>1</v>
      </c>
      <c r="F194" s="340">
        <v>1</v>
      </c>
      <c r="G194" s="256">
        <v>1</v>
      </c>
      <c r="H194" s="256" t="s">
        <v>12771</v>
      </c>
      <c r="I194" s="245">
        <v>1</v>
      </c>
      <c r="J194" s="245">
        <v>1</v>
      </c>
      <c r="K194" s="254">
        <v>1</v>
      </c>
      <c r="L194" s="309">
        <v>1</v>
      </c>
      <c r="M194" s="245" t="s">
        <v>12772</v>
      </c>
    </row>
    <row r="195" spans="1:13" ht="28.5">
      <c r="A195" s="293" t="str">
        <f t="shared" si="12"/>
        <v>DeclarationB100</v>
      </c>
      <c r="B195" s="293" t="s">
        <v>1014</v>
      </c>
      <c r="C195" s="293" t="s">
        <v>12726</v>
      </c>
      <c r="D195" s="246" t="s">
        <v>2626</v>
      </c>
      <c r="E195" s="288" t="s">
        <v>13717</v>
      </c>
      <c r="F195" s="342" t="s">
        <v>14735</v>
      </c>
      <c r="G195" s="310" t="s">
        <v>14834</v>
      </c>
      <c r="H195" s="311" t="s">
        <v>12764</v>
      </c>
      <c r="I195" s="310" t="s">
        <v>14951</v>
      </c>
      <c r="J195" s="310" t="s">
        <v>15297</v>
      </c>
      <c r="K195" s="312" t="s">
        <v>15010</v>
      </c>
      <c r="L195" s="313" t="s">
        <v>12770</v>
      </c>
      <c r="M195" s="311" t="s">
        <v>12769</v>
      </c>
    </row>
    <row r="196" spans="1:13" ht="28.5">
      <c r="A196" s="293" t="str">
        <f t="shared" si="12"/>
        <v>DeclarationB101</v>
      </c>
      <c r="B196" s="293" t="s">
        <v>1014</v>
      </c>
      <c r="C196" s="293" t="s">
        <v>12727</v>
      </c>
      <c r="D196" s="246" t="s">
        <v>2627</v>
      </c>
      <c r="E196" s="288" t="s">
        <v>13718</v>
      </c>
      <c r="F196" s="342" t="s">
        <v>14736</v>
      </c>
      <c r="G196" s="310" t="s">
        <v>14835</v>
      </c>
      <c r="H196" s="311" t="s">
        <v>12765</v>
      </c>
      <c r="I196" s="310" t="s">
        <v>14952</v>
      </c>
      <c r="J196" s="310" t="s">
        <v>15298</v>
      </c>
      <c r="K196" s="312" t="s">
        <v>15011</v>
      </c>
      <c r="L196" s="314" t="s">
        <v>13798</v>
      </c>
      <c r="M196" s="310" t="s">
        <v>15180</v>
      </c>
    </row>
    <row r="197" spans="1:13" ht="28.5">
      <c r="A197" s="293" t="str">
        <f t="shared" si="12"/>
        <v>DeclarationB102</v>
      </c>
      <c r="B197" s="293" t="s">
        <v>1014</v>
      </c>
      <c r="C197" s="293" t="s">
        <v>12728</v>
      </c>
      <c r="D197" s="246" t="s">
        <v>2628</v>
      </c>
      <c r="E197" s="288" t="s">
        <v>13719</v>
      </c>
      <c r="F197" s="342" t="s">
        <v>14737</v>
      </c>
      <c r="G197" s="310" t="s">
        <v>14836</v>
      </c>
      <c r="H197" s="311" t="s">
        <v>12766</v>
      </c>
      <c r="I197" s="310" t="s">
        <v>14953</v>
      </c>
      <c r="J197" s="310" t="s">
        <v>15299</v>
      </c>
      <c r="K197" s="312" t="s">
        <v>15012</v>
      </c>
      <c r="L197" s="314" t="s">
        <v>13799</v>
      </c>
      <c r="M197" s="310" t="s">
        <v>15181</v>
      </c>
    </row>
    <row r="198" spans="1:13" ht="28.5">
      <c r="A198" s="293" t="str">
        <f t="shared" si="12"/>
        <v>DeclarationB103</v>
      </c>
      <c r="B198" s="293" t="s">
        <v>1014</v>
      </c>
      <c r="C198" s="293" t="s">
        <v>12729</v>
      </c>
      <c r="D198" s="246" t="s">
        <v>2629</v>
      </c>
      <c r="E198" s="288" t="s">
        <v>13720</v>
      </c>
      <c r="F198" s="342" t="s">
        <v>14738</v>
      </c>
      <c r="G198" s="310" t="s">
        <v>14837</v>
      </c>
      <c r="H198" s="310" t="s">
        <v>14896</v>
      </c>
      <c r="I198" s="310" t="s">
        <v>14954</v>
      </c>
      <c r="J198" s="310" t="s">
        <v>15300</v>
      </c>
      <c r="K198" s="312" t="s">
        <v>15013</v>
      </c>
      <c r="L198" s="314" t="s">
        <v>13800</v>
      </c>
      <c r="M198" s="310" t="s">
        <v>15182</v>
      </c>
    </row>
    <row r="199" spans="1:13" ht="28.5">
      <c r="A199" s="293" t="str">
        <f t="shared" si="12"/>
        <v>DeclarationB104</v>
      </c>
      <c r="B199" s="293" t="s">
        <v>1014</v>
      </c>
      <c r="C199" s="293" t="s">
        <v>14345</v>
      </c>
      <c r="D199" s="293" t="s">
        <v>501</v>
      </c>
      <c r="E199" s="257" t="s">
        <v>13721</v>
      </c>
      <c r="F199" s="346" t="s">
        <v>14739</v>
      </c>
      <c r="G199" s="293" t="s">
        <v>567</v>
      </c>
      <c r="H199" s="293" t="s">
        <v>390</v>
      </c>
      <c r="I199" s="293" t="s">
        <v>243</v>
      </c>
      <c r="J199" s="293" t="s">
        <v>20</v>
      </c>
      <c r="K199" s="287" t="s">
        <v>274</v>
      </c>
      <c r="L199" s="300" t="s">
        <v>185</v>
      </c>
      <c r="M199" s="293" t="s">
        <v>15183</v>
      </c>
    </row>
    <row r="200" spans="1:13" ht="28.5">
      <c r="A200" s="293" t="str">
        <f t="shared" si="12"/>
        <v>DeclarationB105</v>
      </c>
      <c r="B200" s="293" t="s">
        <v>1014</v>
      </c>
      <c r="C200" s="293" t="s">
        <v>14346</v>
      </c>
      <c r="D200" s="247" t="s">
        <v>12720</v>
      </c>
      <c r="E200" s="258" t="s">
        <v>14535</v>
      </c>
      <c r="F200" s="343" t="s">
        <v>14740</v>
      </c>
      <c r="G200" s="315" t="s">
        <v>14838</v>
      </c>
      <c r="H200" s="315" t="s">
        <v>14897</v>
      </c>
      <c r="I200" s="315" t="s">
        <v>14955</v>
      </c>
      <c r="J200" s="315" t="s">
        <v>15301</v>
      </c>
      <c r="K200" s="303" t="s">
        <v>15014</v>
      </c>
      <c r="L200" s="316" t="s">
        <v>12767</v>
      </c>
      <c r="M200" s="315" t="s">
        <v>15184</v>
      </c>
    </row>
    <row r="201" spans="1:13" ht="30">
      <c r="A201" s="293" t="str">
        <f t="shared" si="12"/>
        <v>DeclarationB106</v>
      </c>
      <c r="B201" s="293" t="s">
        <v>1014</v>
      </c>
      <c r="C201" s="293" t="s">
        <v>14347</v>
      </c>
      <c r="D201" s="247" t="s">
        <v>12721</v>
      </c>
      <c r="E201" s="258" t="s">
        <v>14536</v>
      </c>
      <c r="F201" s="343" t="s">
        <v>14741</v>
      </c>
      <c r="G201" s="315" t="s">
        <v>14839</v>
      </c>
      <c r="H201" s="315" t="s">
        <v>14898</v>
      </c>
      <c r="I201" s="315" t="s">
        <v>14956</v>
      </c>
      <c r="J201" s="315" t="s">
        <v>15302</v>
      </c>
      <c r="K201" s="303" t="s">
        <v>15015</v>
      </c>
      <c r="L201" s="316" t="s">
        <v>12768</v>
      </c>
      <c r="M201" s="315" t="s">
        <v>15185</v>
      </c>
    </row>
    <row r="202" spans="1:13" ht="28.5">
      <c r="A202" s="293" t="str">
        <f t="shared" si="12"/>
        <v>DeclarationB107</v>
      </c>
      <c r="B202" s="293" t="s">
        <v>1014</v>
      </c>
      <c r="C202" s="293" t="s">
        <v>14348</v>
      </c>
      <c r="D202" s="247" t="s">
        <v>499</v>
      </c>
      <c r="E202" s="258" t="s">
        <v>13715</v>
      </c>
      <c r="F202" s="343" t="s">
        <v>14742</v>
      </c>
      <c r="G202" s="315" t="s">
        <v>14840</v>
      </c>
      <c r="H202" s="315" t="s">
        <v>14899</v>
      </c>
      <c r="I202" s="315" t="s">
        <v>14957</v>
      </c>
      <c r="J202" s="315" t="s">
        <v>15303</v>
      </c>
      <c r="K202" s="303" t="s">
        <v>14840</v>
      </c>
      <c r="L202" s="317" t="s">
        <v>15070</v>
      </c>
      <c r="M202" s="315" t="s">
        <v>15186</v>
      </c>
    </row>
    <row r="203" spans="1:13" ht="28.5">
      <c r="A203" s="293" t="str">
        <f t="shared" si="12"/>
        <v>DeclarationB108</v>
      </c>
      <c r="B203" s="293" t="s">
        <v>1014</v>
      </c>
      <c r="C203" s="293" t="s">
        <v>14349</v>
      </c>
      <c r="D203" s="247" t="s">
        <v>14352</v>
      </c>
      <c r="E203" s="247" t="s">
        <v>14537</v>
      </c>
      <c r="F203" s="338" t="s">
        <v>14743</v>
      </c>
      <c r="G203" s="247" t="s">
        <v>14841</v>
      </c>
      <c r="H203" s="247" t="s">
        <v>14900</v>
      </c>
      <c r="I203" s="247" t="s">
        <v>14958</v>
      </c>
      <c r="J203" s="247" t="s">
        <v>15328</v>
      </c>
      <c r="K203" s="247" t="s">
        <v>15016</v>
      </c>
      <c r="L203" s="247" t="s">
        <v>15071</v>
      </c>
      <c r="M203" s="247" t="s">
        <v>15187</v>
      </c>
    </row>
    <row r="204" spans="1:13" ht="28.5">
      <c r="A204" s="293" t="str">
        <f t="shared" si="12"/>
        <v>DeclarationB109</v>
      </c>
      <c r="B204" s="293" t="s">
        <v>1014</v>
      </c>
      <c r="C204" s="293" t="s">
        <v>14350</v>
      </c>
      <c r="D204" s="247" t="s">
        <v>14354</v>
      </c>
      <c r="E204" s="247" t="s">
        <v>14538</v>
      </c>
      <c r="F204" s="338" t="s">
        <v>14744</v>
      </c>
      <c r="G204" s="247" t="s">
        <v>14842</v>
      </c>
      <c r="H204" s="247" t="s">
        <v>14901</v>
      </c>
      <c r="I204" s="247" t="s">
        <v>14959</v>
      </c>
      <c r="J204" s="247" t="s">
        <v>15329</v>
      </c>
      <c r="K204" s="247" t="s">
        <v>15017</v>
      </c>
      <c r="L204" s="247" t="s">
        <v>15072</v>
      </c>
      <c r="M204" s="247" t="s">
        <v>15188</v>
      </c>
    </row>
    <row r="205" spans="1:13" ht="28.5">
      <c r="A205" s="293" t="str">
        <f t="shared" si="12"/>
        <v>DeclarationB110</v>
      </c>
      <c r="B205" s="293" t="s">
        <v>1014</v>
      </c>
      <c r="C205" s="293" t="s">
        <v>14351</v>
      </c>
      <c r="D205" s="247" t="s">
        <v>14355</v>
      </c>
      <c r="E205" s="247" t="s">
        <v>14539</v>
      </c>
      <c r="F205" s="338" t="s">
        <v>14745</v>
      </c>
      <c r="G205" s="247" t="s">
        <v>14843</v>
      </c>
      <c r="H205" s="247" t="s">
        <v>14902</v>
      </c>
      <c r="I205" s="247" t="s">
        <v>14960</v>
      </c>
      <c r="J205" s="247" t="s">
        <v>15330</v>
      </c>
      <c r="K205" s="247" t="s">
        <v>15018</v>
      </c>
      <c r="L205" s="247" t="s">
        <v>15073</v>
      </c>
      <c r="M205" s="247" t="s">
        <v>15189</v>
      </c>
    </row>
    <row r="206" spans="1:13" ht="28.5">
      <c r="A206" s="293" t="str">
        <f t="shared" ref="A206" si="13">B206&amp;C206</f>
        <v>DeclarationB111</v>
      </c>
      <c r="B206" s="293" t="s">
        <v>1014</v>
      </c>
      <c r="C206" s="293" t="s">
        <v>14353</v>
      </c>
      <c r="D206" s="247" t="s">
        <v>499</v>
      </c>
      <c r="E206" s="258" t="s">
        <v>13715</v>
      </c>
      <c r="F206" s="343" t="s">
        <v>14742</v>
      </c>
      <c r="G206" s="315" t="s">
        <v>14840</v>
      </c>
      <c r="H206" s="315" t="s">
        <v>14899</v>
      </c>
      <c r="I206" s="315" t="s">
        <v>14957</v>
      </c>
      <c r="J206" s="315" t="s">
        <v>15303</v>
      </c>
      <c r="K206" s="303" t="s">
        <v>14840</v>
      </c>
      <c r="L206" s="317" t="s">
        <v>15070</v>
      </c>
      <c r="M206" s="315" t="s">
        <v>15186</v>
      </c>
    </row>
    <row r="207" spans="1:13" ht="409.5" customHeight="1">
      <c r="A207" s="293" t="str">
        <f t="shared" ref="A207" si="14">B207&amp;C207</f>
        <v>Smelter Look-upA1</v>
      </c>
      <c r="B207" s="293" t="s">
        <v>12750</v>
      </c>
      <c r="C207" s="293" t="s">
        <v>647</v>
      </c>
      <c r="D207" s="226" t="s">
        <v>13510</v>
      </c>
      <c r="E207" s="329" t="s">
        <v>14540</v>
      </c>
      <c r="F207" s="341" t="s">
        <v>15469</v>
      </c>
      <c r="G207" s="302" t="s">
        <v>14844</v>
      </c>
      <c r="H207" s="302" t="s">
        <v>15470</v>
      </c>
      <c r="I207" s="302" t="s">
        <v>15471</v>
      </c>
      <c r="J207" s="302" t="s">
        <v>13822</v>
      </c>
      <c r="K207" s="303" t="s">
        <v>15472</v>
      </c>
      <c r="L207" s="318" t="s">
        <v>15473</v>
      </c>
      <c r="M207" s="302" t="s">
        <v>15190</v>
      </c>
    </row>
    <row r="208" spans="1:13" ht="28.5">
      <c r="A208" s="293" t="str">
        <f t="shared" ref="A208:A217" si="15">B208&amp;C208</f>
        <v>Smelter Look-upA4</v>
      </c>
      <c r="B208" s="293" t="s">
        <v>12750</v>
      </c>
      <c r="C208" s="293" t="s">
        <v>650</v>
      </c>
      <c r="D208" s="293" t="s">
        <v>868</v>
      </c>
      <c r="E208" s="258" t="s">
        <v>1109</v>
      </c>
      <c r="F208" s="346" t="s">
        <v>1109</v>
      </c>
      <c r="G208" s="293" t="s">
        <v>1110</v>
      </c>
      <c r="H208" s="293" t="s">
        <v>1307</v>
      </c>
      <c r="I208" s="293" t="s">
        <v>868</v>
      </c>
      <c r="J208" s="206" t="s">
        <v>963</v>
      </c>
      <c r="K208" s="287" t="s">
        <v>868</v>
      </c>
      <c r="L208" s="300" t="s">
        <v>466</v>
      </c>
      <c r="M208" s="293" t="s">
        <v>868</v>
      </c>
    </row>
    <row r="209" spans="1:13" ht="28.5">
      <c r="A209" s="293" t="str">
        <f t="shared" si="15"/>
        <v>Smelter Look-upB4</v>
      </c>
      <c r="B209" s="293" t="s">
        <v>12750</v>
      </c>
      <c r="C209" s="293" t="s">
        <v>973</v>
      </c>
      <c r="D209" s="293" t="s">
        <v>12748</v>
      </c>
      <c r="E209" s="258" t="s">
        <v>14308</v>
      </c>
      <c r="F209" s="341" t="s">
        <v>14746</v>
      </c>
      <c r="G209" s="302" t="s">
        <v>14845</v>
      </c>
      <c r="H209" s="302" t="s">
        <v>14903</v>
      </c>
      <c r="I209" s="302" t="s">
        <v>14961</v>
      </c>
      <c r="J209" s="302" t="s">
        <v>15304</v>
      </c>
      <c r="K209" s="303" t="s">
        <v>15019</v>
      </c>
      <c r="L209" s="304" t="s">
        <v>13801</v>
      </c>
      <c r="M209" s="302" t="s">
        <v>15191</v>
      </c>
    </row>
    <row r="210" spans="1:13" ht="28.5">
      <c r="A210" s="293" t="str">
        <f t="shared" si="15"/>
        <v>Smelter Look-up</v>
      </c>
      <c r="B210" s="293" t="s">
        <v>12750</v>
      </c>
      <c r="D210" s="293" t="s">
        <v>13486</v>
      </c>
      <c r="E210" s="258" t="s">
        <v>13722</v>
      </c>
      <c r="F210" s="346" t="s">
        <v>14747</v>
      </c>
      <c r="G210" s="293" t="s">
        <v>607</v>
      </c>
      <c r="H210" s="293" t="s">
        <v>393</v>
      </c>
      <c r="I210" s="293" t="s">
        <v>245</v>
      </c>
      <c r="J210" s="206" t="s">
        <v>1193</v>
      </c>
      <c r="K210" s="287" t="s">
        <v>1113</v>
      </c>
      <c r="L210" s="300" t="s">
        <v>639</v>
      </c>
      <c r="M210" s="293" t="s">
        <v>15192</v>
      </c>
    </row>
    <row r="211" spans="1:13" ht="28.5">
      <c r="A211" s="293" t="str">
        <f t="shared" si="15"/>
        <v>Smelter Look-upC4</v>
      </c>
      <c r="B211" s="293" t="s">
        <v>12750</v>
      </c>
      <c r="C211" s="293" t="s">
        <v>994</v>
      </c>
      <c r="D211" s="293" t="s">
        <v>925</v>
      </c>
      <c r="E211" s="288" t="s">
        <v>13723</v>
      </c>
      <c r="F211" s="346" t="s">
        <v>14748</v>
      </c>
      <c r="G211" s="293" t="s">
        <v>606</v>
      </c>
      <c r="H211" s="293" t="s">
        <v>392</v>
      </c>
      <c r="I211" s="293" t="s">
        <v>244</v>
      </c>
      <c r="J211" s="206" t="s">
        <v>1192</v>
      </c>
      <c r="K211" s="287" t="s">
        <v>275</v>
      </c>
      <c r="L211" s="300" t="s">
        <v>467</v>
      </c>
      <c r="M211" s="293" t="s">
        <v>15193</v>
      </c>
    </row>
    <row r="212" spans="1:13" ht="28.5">
      <c r="A212" s="293" t="str">
        <f t="shared" si="15"/>
        <v>Smelter Look-upD4</v>
      </c>
      <c r="B212" s="293" t="s">
        <v>12750</v>
      </c>
      <c r="C212" s="293" t="s">
        <v>1309</v>
      </c>
      <c r="D212" s="293" t="s">
        <v>924</v>
      </c>
      <c r="E212" s="291" t="s">
        <v>13724</v>
      </c>
      <c r="F212" s="346" t="s">
        <v>14749</v>
      </c>
      <c r="G212" s="293" t="s">
        <v>964</v>
      </c>
      <c r="H212" s="293" t="s">
        <v>394</v>
      </c>
      <c r="I212" s="293" t="s">
        <v>246</v>
      </c>
      <c r="J212" s="206" t="s">
        <v>13047</v>
      </c>
      <c r="K212" s="287" t="s">
        <v>276</v>
      </c>
      <c r="L212" s="300" t="s">
        <v>638</v>
      </c>
      <c r="M212" s="293" t="s">
        <v>15194</v>
      </c>
    </row>
    <row r="213" spans="1:13" ht="28.5">
      <c r="A213" s="293" t="str">
        <f t="shared" si="15"/>
        <v>Smelter Look-upE4</v>
      </c>
      <c r="B213" s="293" t="s">
        <v>12750</v>
      </c>
      <c r="C213" s="293" t="s">
        <v>1310</v>
      </c>
      <c r="D213" s="293" t="s">
        <v>12746</v>
      </c>
      <c r="E213" s="258" t="s">
        <v>14541</v>
      </c>
      <c r="F213" s="341" t="s">
        <v>14750</v>
      </c>
      <c r="G213" s="302" t="s">
        <v>605</v>
      </c>
      <c r="H213" s="302" t="s">
        <v>14904</v>
      </c>
      <c r="I213" s="302" t="s">
        <v>14962</v>
      </c>
      <c r="J213" s="302" t="s">
        <v>15305</v>
      </c>
      <c r="K213" s="303" t="s">
        <v>15020</v>
      </c>
      <c r="L213" s="304" t="s">
        <v>13802</v>
      </c>
      <c r="M213" s="302" t="s">
        <v>15195</v>
      </c>
    </row>
    <row r="214" spans="1:13" ht="28.5">
      <c r="A214" s="293" t="str">
        <f t="shared" si="15"/>
        <v>Smelter Look-upF4</v>
      </c>
      <c r="B214" s="293" t="s">
        <v>12750</v>
      </c>
      <c r="C214" s="293" t="s">
        <v>1320</v>
      </c>
      <c r="D214" s="293" t="s">
        <v>479</v>
      </c>
      <c r="E214" s="257" t="s">
        <v>13725</v>
      </c>
      <c r="F214" s="346" t="s">
        <v>14751</v>
      </c>
      <c r="G214" s="293" t="s">
        <v>577</v>
      </c>
      <c r="H214" s="293" t="s">
        <v>397</v>
      </c>
      <c r="I214" s="293" t="s">
        <v>258</v>
      </c>
      <c r="J214" s="206" t="s">
        <v>1378</v>
      </c>
      <c r="K214" s="287" t="s">
        <v>119</v>
      </c>
      <c r="L214" s="300" t="s">
        <v>74</v>
      </c>
      <c r="M214" s="293" t="s">
        <v>15196</v>
      </c>
    </row>
    <row r="215" spans="1:13" ht="28.5" customHeight="1">
      <c r="A215" s="293" t="str">
        <f t="shared" si="15"/>
        <v>Smelter Look-upG4</v>
      </c>
      <c r="B215" s="293" t="s">
        <v>12750</v>
      </c>
      <c r="C215" s="293" t="s">
        <v>1311</v>
      </c>
      <c r="D215" s="293" t="s">
        <v>481</v>
      </c>
      <c r="E215" s="257" t="s">
        <v>13726</v>
      </c>
      <c r="F215" s="346" t="s">
        <v>14752</v>
      </c>
      <c r="G215" s="293" t="s">
        <v>569</v>
      </c>
      <c r="H215" s="293" t="s">
        <v>1158</v>
      </c>
      <c r="I215" s="293" t="s">
        <v>248</v>
      </c>
      <c r="J215" s="206" t="s">
        <v>13044</v>
      </c>
      <c r="K215" s="287" t="s">
        <v>278</v>
      </c>
      <c r="L215" s="319" t="s">
        <v>187</v>
      </c>
      <c r="M215" s="293" t="s">
        <v>15197</v>
      </c>
    </row>
    <row r="216" spans="1:13" ht="28.5" customHeight="1">
      <c r="A216" s="293" t="str">
        <f t="shared" si="15"/>
        <v>Smelter Look-upH4</v>
      </c>
      <c r="B216" s="293" t="s">
        <v>12750</v>
      </c>
      <c r="C216" s="293" t="s">
        <v>1312</v>
      </c>
      <c r="D216" s="293" t="s">
        <v>482</v>
      </c>
      <c r="E216" s="257" t="s">
        <v>13727</v>
      </c>
      <c r="F216" s="346" t="s">
        <v>14753</v>
      </c>
      <c r="G216" s="293" t="s">
        <v>570</v>
      </c>
      <c r="H216" s="293" t="s">
        <v>1159</v>
      </c>
      <c r="I216" s="293" t="s">
        <v>249</v>
      </c>
      <c r="J216" s="206" t="s">
        <v>13045</v>
      </c>
      <c r="K216" s="287" t="s">
        <v>279</v>
      </c>
      <c r="L216" s="319" t="s">
        <v>188</v>
      </c>
      <c r="M216" s="293" t="s">
        <v>15198</v>
      </c>
    </row>
    <row r="217" spans="1:13" ht="28.5" customHeight="1">
      <c r="A217" s="293" t="str">
        <f t="shared" si="15"/>
        <v>Smelter Look-upI4</v>
      </c>
      <c r="B217" s="293" t="s">
        <v>12750</v>
      </c>
      <c r="C217" s="293" t="s">
        <v>1313</v>
      </c>
      <c r="D217" s="293" t="s">
        <v>923</v>
      </c>
      <c r="E217" s="257" t="s">
        <v>13728</v>
      </c>
      <c r="F217" s="346" t="s">
        <v>14754</v>
      </c>
      <c r="G217" s="293" t="s">
        <v>1160</v>
      </c>
      <c r="H217" s="293" t="s">
        <v>1161</v>
      </c>
      <c r="I217" s="293" t="s">
        <v>250</v>
      </c>
      <c r="J217" s="206" t="s">
        <v>13046</v>
      </c>
      <c r="K217" s="287" t="s">
        <v>113</v>
      </c>
      <c r="L217" s="319" t="s">
        <v>637</v>
      </c>
      <c r="M217" s="293" t="s">
        <v>15199</v>
      </c>
    </row>
    <row r="218" spans="1:13" ht="28.5" customHeight="1">
      <c r="A218" s="293" t="s">
        <v>2492</v>
      </c>
      <c r="B218" s="293" t="s">
        <v>1262</v>
      </c>
      <c r="C218" s="293" t="s">
        <v>650</v>
      </c>
      <c r="D218" s="293" t="s">
        <v>2559</v>
      </c>
      <c r="E218" s="257" t="s">
        <v>2560</v>
      </c>
      <c r="F218" s="346" t="s">
        <v>14755</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6" t="s">
        <v>887</v>
      </c>
      <c r="G219" s="293" t="s">
        <v>1108</v>
      </c>
      <c r="H219" s="293" t="s">
        <v>1308</v>
      </c>
      <c r="I219" s="293" t="s">
        <v>861</v>
      </c>
      <c r="J219" s="206" t="s">
        <v>12749</v>
      </c>
      <c r="K219" s="287" t="s">
        <v>861</v>
      </c>
      <c r="L219" s="300" t="s">
        <v>463</v>
      </c>
      <c r="M219" s="293" t="s">
        <v>15200</v>
      </c>
    </row>
    <row r="220" spans="1:13" ht="28.5" customHeight="1">
      <c r="A220" s="293" t="str">
        <f t="shared" si="16"/>
        <v>Smelter ListC4</v>
      </c>
      <c r="B220" s="293" t="s">
        <v>1262</v>
      </c>
      <c r="C220" s="293" t="s">
        <v>994</v>
      </c>
      <c r="D220" s="293" t="s">
        <v>12748</v>
      </c>
      <c r="E220" s="258" t="s">
        <v>14308</v>
      </c>
      <c r="F220" s="341" t="s">
        <v>14746</v>
      </c>
      <c r="G220" s="302" t="s">
        <v>14845</v>
      </c>
      <c r="H220" s="302" t="s">
        <v>14903</v>
      </c>
      <c r="I220" s="302" t="s">
        <v>14961</v>
      </c>
      <c r="J220" s="302" t="s">
        <v>15304</v>
      </c>
      <c r="K220" s="303" t="s">
        <v>15019</v>
      </c>
      <c r="L220" s="304" t="s">
        <v>13801</v>
      </c>
      <c r="M220" s="302" t="s">
        <v>15191</v>
      </c>
    </row>
    <row r="221" spans="1:13" ht="44.25" customHeight="1">
      <c r="A221" s="293" t="str">
        <f t="shared" si="16"/>
        <v>Smelter ListD4</v>
      </c>
      <c r="B221" s="293" t="s">
        <v>1262</v>
      </c>
      <c r="C221" s="293" t="s">
        <v>1309</v>
      </c>
      <c r="D221" s="302" t="s">
        <v>13034</v>
      </c>
      <c r="E221" s="258" t="s">
        <v>13035</v>
      </c>
      <c r="F221" s="341" t="s">
        <v>14756</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6" t="s">
        <v>14757</v>
      </c>
      <c r="G222" s="293" t="s">
        <v>568</v>
      </c>
      <c r="H222" s="293" t="s">
        <v>1157</v>
      </c>
      <c r="I222" s="293" t="s">
        <v>247</v>
      </c>
      <c r="J222" s="206" t="s">
        <v>13043</v>
      </c>
      <c r="K222" s="287" t="s">
        <v>277</v>
      </c>
      <c r="L222" s="300" t="s">
        <v>186</v>
      </c>
      <c r="M222" s="293" t="s">
        <v>15201</v>
      </c>
    </row>
    <row r="223" spans="1:13" ht="28.5" customHeight="1">
      <c r="A223" s="293" t="str">
        <f t="shared" si="16"/>
        <v>Smelter ListH4</v>
      </c>
      <c r="B223" s="293" t="s">
        <v>1262</v>
      </c>
      <c r="C223" s="293" t="s">
        <v>1312</v>
      </c>
      <c r="D223" s="293" t="s">
        <v>481</v>
      </c>
      <c r="E223" s="257" t="s">
        <v>13726</v>
      </c>
      <c r="F223" s="346" t="s">
        <v>14752</v>
      </c>
      <c r="G223" s="293" t="s">
        <v>569</v>
      </c>
      <c r="H223" s="293" t="s">
        <v>1158</v>
      </c>
      <c r="I223" s="293" t="s">
        <v>248</v>
      </c>
      <c r="J223" s="206" t="s">
        <v>13044</v>
      </c>
      <c r="K223" s="287" t="s">
        <v>278</v>
      </c>
      <c r="L223" s="319" t="s">
        <v>187</v>
      </c>
      <c r="M223" s="293" t="s">
        <v>15197</v>
      </c>
    </row>
    <row r="224" spans="1:13" ht="14.25" customHeight="1">
      <c r="A224" s="293" t="str">
        <f t="shared" si="16"/>
        <v>Smelter ListI4</v>
      </c>
      <c r="B224" s="293" t="s">
        <v>1262</v>
      </c>
      <c r="C224" s="293" t="s">
        <v>1313</v>
      </c>
      <c r="D224" s="293" t="s">
        <v>482</v>
      </c>
      <c r="E224" s="288" t="s">
        <v>13727</v>
      </c>
      <c r="F224" s="346" t="s">
        <v>14753</v>
      </c>
      <c r="G224" s="293" t="s">
        <v>570</v>
      </c>
      <c r="H224" s="293" t="s">
        <v>1159</v>
      </c>
      <c r="I224" s="293" t="s">
        <v>249</v>
      </c>
      <c r="J224" s="206" t="s">
        <v>13045</v>
      </c>
      <c r="K224" s="287" t="s">
        <v>279</v>
      </c>
      <c r="L224" s="319" t="s">
        <v>188</v>
      </c>
      <c r="M224" s="293" t="s">
        <v>15198</v>
      </c>
    </row>
    <row r="225" spans="1:13" ht="28.5">
      <c r="A225" s="293" t="str">
        <f t="shared" si="16"/>
        <v>Smelter ListJ4</v>
      </c>
      <c r="B225" s="293" t="s">
        <v>1262</v>
      </c>
      <c r="C225" s="293" t="s">
        <v>1314</v>
      </c>
      <c r="D225" s="293" t="s">
        <v>923</v>
      </c>
      <c r="E225" s="288" t="s">
        <v>13728</v>
      </c>
      <c r="F225" s="346" t="s">
        <v>14754</v>
      </c>
      <c r="G225" s="293" t="s">
        <v>1160</v>
      </c>
      <c r="H225" s="293" t="s">
        <v>1161</v>
      </c>
      <c r="I225" s="293" t="s">
        <v>250</v>
      </c>
      <c r="J225" s="206" t="s">
        <v>13046</v>
      </c>
      <c r="K225" s="287" t="s">
        <v>113</v>
      </c>
      <c r="L225" s="319" t="s">
        <v>637</v>
      </c>
      <c r="M225" s="293" t="s">
        <v>15199</v>
      </c>
    </row>
    <row r="226" spans="1:13" ht="28.5">
      <c r="A226" s="293" t="str">
        <f t="shared" si="16"/>
        <v>Smelter ListK4</v>
      </c>
      <c r="B226" s="293" t="s">
        <v>1262</v>
      </c>
      <c r="C226" s="293" t="s">
        <v>1315</v>
      </c>
      <c r="D226" s="293" t="s">
        <v>483</v>
      </c>
      <c r="E226" s="257" t="s">
        <v>13730</v>
      </c>
      <c r="F226" s="346" t="s">
        <v>14758</v>
      </c>
      <c r="G226" s="293" t="s">
        <v>571</v>
      </c>
      <c r="H226" s="293" t="s">
        <v>1162</v>
      </c>
      <c r="I226" s="293" t="s">
        <v>251</v>
      </c>
      <c r="J226" s="206" t="s">
        <v>1051</v>
      </c>
      <c r="K226" s="287" t="s">
        <v>1163</v>
      </c>
      <c r="L226" s="319" t="s">
        <v>464</v>
      </c>
      <c r="M226" s="293" t="s">
        <v>15202</v>
      </c>
    </row>
    <row r="227" spans="1:13">
      <c r="A227" s="293" t="str">
        <f t="shared" si="16"/>
        <v>Smelter ListL4</v>
      </c>
      <c r="B227" s="293" t="s">
        <v>1262</v>
      </c>
      <c r="C227" s="293" t="s">
        <v>1316</v>
      </c>
      <c r="D227" s="293" t="s">
        <v>484</v>
      </c>
      <c r="E227" s="257" t="s">
        <v>13731</v>
      </c>
      <c r="F227" s="346" t="s">
        <v>14759</v>
      </c>
      <c r="G227" s="293" t="s">
        <v>572</v>
      </c>
      <c r="H227" s="293" t="s">
        <v>1164</v>
      </c>
      <c r="I227" s="293" t="s">
        <v>252</v>
      </c>
      <c r="J227" s="206" t="s">
        <v>21</v>
      </c>
      <c r="K227" s="287" t="s">
        <v>1165</v>
      </c>
      <c r="L227" s="300" t="s">
        <v>465</v>
      </c>
      <c r="M227" s="293" t="s">
        <v>15203</v>
      </c>
    </row>
    <row r="228" spans="1:13" ht="28.5">
      <c r="A228" s="293" t="str">
        <f t="shared" si="16"/>
        <v>Smelter ListM4</v>
      </c>
      <c r="B228" s="293" t="s">
        <v>1262</v>
      </c>
      <c r="C228" s="293" t="s">
        <v>1317</v>
      </c>
      <c r="D228" s="293" t="s">
        <v>485</v>
      </c>
      <c r="E228" s="257" t="s">
        <v>13732</v>
      </c>
      <c r="F228" s="346" t="s">
        <v>14760</v>
      </c>
      <c r="G228" s="293" t="s">
        <v>573</v>
      </c>
      <c r="H228" s="293" t="s">
        <v>1166</v>
      </c>
      <c r="I228" s="293" t="s">
        <v>253</v>
      </c>
      <c r="J228" s="206" t="s">
        <v>22</v>
      </c>
      <c r="K228" s="287" t="s">
        <v>114</v>
      </c>
      <c r="L228" s="300" t="s">
        <v>189</v>
      </c>
      <c r="M228" s="293" t="s">
        <v>15204</v>
      </c>
    </row>
    <row r="229" spans="1:13" ht="42.75">
      <c r="A229" s="293" t="str">
        <f t="shared" si="16"/>
        <v>Smelter ListN4</v>
      </c>
      <c r="B229" s="293" t="s">
        <v>1262</v>
      </c>
      <c r="C229" s="293" t="s">
        <v>1318</v>
      </c>
      <c r="D229" s="293" t="s">
        <v>512</v>
      </c>
      <c r="E229" s="257" t="s">
        <v>13733</v>
      </c>
      <c r="F229" s="346" t="s">
        <v>14761</v>
      </c>
      <c r="G229" s="293" t="s">
        <v>574</v>
      </c>
      <c r="H229" s="173" t="s">
        <v>395</v>
      </c>
      <c r="I229" s="293" t="s">
        <v>254</v>
      </c>
      <c r="J229" s="206" t="s">
        <v>1376</v>
      </c>
      <c r="K229" s="287" t="s">
        <v>115</v>
      </c>
      <c r="L229" s="300" t="s">
        <v>190</v>
      </c>
      <c r="M229" s="293" t="s">
        <v>15205</v>
      </c>
    </row>
    <row r="230" spans="1:13" ht="57">
      <c r="A230" s="293" t="str">
        <f t="shared" si="16"/>
        <v>Smelter ListO4</v>
      </c>
      <c r="B230" s="293" t="s">
        <v>1262</v>
      </c>
      <c r="C230" s="293" t="s">
        <v>1319</v>
      </c>
      <c r="D230" s="293" t="s">
        <v>1015</v>
      </c>
      <c r="E230" s="257" t="s">
        <v>13734</v>
      </c>
      <c r="F230" s="346" t="s">
        <v>14762</v>
      </c>
      <c r="G230" s="293" t="s">
        <v>575</v>
      </c>
      <c r="H230" s="293" t="s">
        <v>396</v>
      </c>
      <c r="I230" s="293" t="s">
        <v>255</v>
      </c>
      <c r="J230" s="206" t="s">
        <v>1393</v>
      </c>
      <c r="K230" s="287" t="s">
        <v>116</v>
      </c>
      <c r="L230" s="300" t="s">
        <v>191</v>
      </c>
      <c r="M230" s="293" t="s">
        <v>15206</v>
      </c>
    </row>
    <row r="231" spans="1:13" ht="57">
      <c r="A231" s="293" t="str">
        <f t="shared" si="16"/>
        <v>Smelter ListP4</v>
      </c>
      <c r="B231" s="293" t="s">
        <v>1262</v>
      </c>
      <c r="C231" s="293" t="s">
        <v>502</v>
      </c>
      <c r="D231" s="293" t="s">
        <v>511</v>
      </c>
      <c r="E231" s="257" t="s">
        <v>13735</v>
      </c>
      <c r="F231" s="346" t="s">
        <v>14763</v>
      </c>
      <c r="G231" s="293" t="s">
        <v>576</v>
      </c>
      <c r="H231" s="293" t="s">
        <v>14905</v>
      </c>
      <c r="I231" s="293" t="s">
        <v>256</v>
      </c>
      <c r="J231" s="206" t="s">
        <v>1377</v>
      </c>
      <c r="K231" s="287" t="s">
        <v>117</v>
      </c>
      <c r="L231" s="300" t="s">
        <v>192</v>
      </c>
      <c r="M231" s="293" t="s">
        <v>15207</v>
      </c>
    </row>
    <row r="232" spans="1:13" ht="28.5">
      <c r="A232" s="293" t="str">
        <f t="shared" si="16"/>
        <v>Smelter ListQ4</v>
      </c>
      <c r="B232" s="293" t="s">
        <v>1262</v>
      </c>
      <c r="C232" s="293" t="s">
        <v>510</v>
      </c>
      <c r="D232" s="293" t="s">
        <v>858</v>
      </c>
      <c r="E232" s="257" t="s">
        <v>886</v>
      </c>
      <c r="F232" s="346" t="s">
        <v>14727</v>
      </c>
      <c r="G232" s="293" t="s">
        <v>946</v>
      </c>
      <c r="H232" s="293" t="s">
        <v>947</v>
      </c>
      <c r="I232" s="293" t="s">
        <v>948</v>
      </c>
      <c r="J232" s="206" t="s">
        <v>1050</v>
      </c>
      <c r="K232" s="287" t="s">
        <v>949</v>
      </c>
      <c r="L232" s="300" t="s">
        <v>461</v>
      </c>
      <c r="M232" s="293" t="s">
        <v>15171</v>
      </c>
    </row>
    <row r="233" spans="1:13" ht="42.75">
      <c r="A233" s="293" t="str">
        <f t="shared" si="16"/>
        <v>Smelter ListJ2</v>
      </c>
      <c r="B233" s="293" t="s">
        <v>1262</v>
      </c>
      <c r="C233" s="293" t="s">
        <v>848</v>
      </c>
      <c r="D233" s="293" t="s">
        <v>13511</v>
      </c>
      <c r="E233" s="293" t="s">
        <v>14542</v>
      </c>
      <c r="F233" s="346" t="s">
        <v>14764</v>
      </c>
      <c r="G233" s="293" t="s">
        <v>14846</v>
      </c>
      <c r="H233" s="293" t="s">
        <v>15432</v>
      </c>
      <c r="I233" s="293" t="s">
        <v>15433</v>
      </c>
      <c r="J233" s="206" t="s">
        <v>15434</v>
      </c>
      <c r="K233" s="287" t="s">
        <v>13595</v>
      </c>
      <c r="L233" s="300" t="s">
        <v>15435</v>
      </c>
      <c r="M233" s="293" t="s">
        <v>15208</v>
      </c>
    </row>
    <row r="234" spans="1:13" ht="42.75">
      <c r="A234" s="293" t="str">
        <f t="shared" si="16"/>
        <v>Smelter ListB2</v>
      </c>
      <c r="B234" s="293" t="s">
        <v>1262</v>
      </c>
      <c r="C234" s="293" t="s">
        <v>1018</v>
      </c>
      <c r="D234" s="320" t="s">
        <v>2558</v>
      </c>
      <c r="E234" s="293" t="s">
        <v>14543</v>
      </c>
      <c r="F234" s="346" t="s">
        <v>14765</v>
      </c>
      <c r="G234" s="293" t="s">
        <v>14847</v>
      </c>
      <c r="H234" s="293" t="s">
        <v>2563</v>
      </c>
      <c r="I234" s="293" t="s">
        <v>2565</v>
      </c>
      <c r="J234" s="293" t="s">
        <v>2567</v>
      </c>
      <c r="K234" s="296" t="s">
        <v>2569</v>
      </c>
      <c r="L234" s="308" t="s">
        <v>15074</v>
      </c>
      <c r="M234" s="293" t="s">
        <v>15209</v>
      </c>
    </row>
    <row r="235" spans="1:13" ht="409.5">
      <c r="A235" s="293" t="str">
        <f t="shared" si="16"/>
        <v>Smelter ListB3</v>
      </c>
      <c r="B235" s="293" t="s">
        <v>1262</v>
      </c>
      <c r="C235" s="293" t="s">
        <v>972</v>
      </c>
      <c r="D235" s="321" t="s">
        <v>13619</v>
      </c>
      <c r="E235" s="293" t="s">
        <v>14544</v>
      </c>
      <c r="F235" s="341" t="s">
        <v>15428</v>
      </c>
      <c r="G235" s="290" t="s">
        <v>14848</v>
      </c>
      <c r="H235" s="302" t="s">
        <v>15429</v>
      </c>
      <c r="I235" s="290" t="s">
        <v>15430</v>
      </c>
      <c r="J235" s="290" t="s">
        <v>13823</v>
      </c>
      <c r="K235" s="303" t="s">
        <v>15021</v>
      </c>
      <c r="L235" s="304" t="s">
        <v>15075</v>
      </c>
      <c r="M235" s="290" t="s">
        <v>15431</v>
      </c>
    </row>
    <row r="236" spans="1:13">
      <c r="A236" s="293" t="str">
        <f t="shared" si="16"/>
        <v>Smelter ListF4</v>
      </c>
      <c r="B236" s="293" t="s">
        <v>1262</v>
      </c>
      <c r="C236" s="293" t="s">
        <v>1320</v>
      </c>
      <c r="D236" s="293" t="s">
        <v>478</v>
      </c>
      <c r="E236" s="293" t="s">
        <v>14545</v>
      </c>
      <c r="F236" s="346" t="s">
        <v>14666</v>
      </c>
      <c r="G236" s="293" t="s">
        <v>605</v>
      </c>
      <c r="H236" s="293" t="s">
        <v>391</v>
      </c>
      <c r="I236" s="293" t="s">
        <v>257</v>
      </c>
      <c r="J236" s="206" t="s">
        <v>1191</v>
      </c>
      <c r="K236" s="287" t="s">
        <v>118</v>
      </c>
      <c r="L236" s="300" t="s">
        <v>73</v>
      </c>
      <c r="M236" s="293" t="s">
        <v>15210</v>
      </c>
    </row>
    <row r="237" spans="1:13" ht="28.5">
      <c r="A237" s="293" t="str">
        <f t="shared" si="16"/>
        <v>Smelter ListG4</v>
      </c>
      <c r="B237" s="293" t="s">
        <v>1262</v>
      </c>
      <c r="C237" s="293" t="s">
        <v>1311</v>
      </c>
      <c r="D237" s="293" t="s">
        <v>479</v>
      </c>
      <c r="E237" s="293" t="s">
        <v>13725</v>
      </c>
      <c r="F237" s="346" t="s">
        <v>14751</v>
      </c>
      <c r="G237" s="293" t="s">
        <v>577</v>
      </c>
      <c r="H237" s="293" t="s">
        <v>397</v>
      </c>
      <c r="I237" s="293" t="s">
        <v>258</v>
      </c>
      <c r="J237" s="206" t="s">
        <v>1378</v>
      </c>
      <c r="K237" s="287" t="s">
        <v>119</v>
      </c>
      <c r="L237" s="300" t="s">
        <v>74</v>
      </c>
      <c r="M237" s="293" t="s">
        <v>15196</v>
      </c>
    </row>
    <row r="238" spans="1:13" ht="28.5">
      <c r="A238" s="293" t="str">
        <f t="shared" si="16"/>
        <v>Smelter ListAH5</v>
      </c>
      <c r="B238" s="293" t="s">
        <v>1262</v>
      </c>
      <c r="C238" s="293" t="s">
        <v>12741</v>
      </c>
      <c r="D238" s="293" t="s">
        <v>498</v>
      </c>
      <c r="E238" s="293" t="s">
        <v>13714</v>
      </c>
      <c r="F238" s="346" t="s">
        <v>14732</v>
      </c>
      <c r="G238" s="293" t="s">
        <v>564</v>
      </c>
      <c r="H238" s="293" t="s">
        <v>388</v>
      </c>
      <c r="I238" s="293" t="s">
        <v>240</v>
      </c>
      <c r="J238" s="293" t="s">
        <v>17</v>
      </c>
      <c r="K238" s="287" t="s">
        <v>272</v>
      </c>
      <c r="L238" s="300" t="s">
        <v>182</v>
      </c>
      <c r="M238" s="293" t="s">
        <v>15177</v>
      </c>
    </row>
    <row r="239" spans="1:13" ht="28.5">
      <c r="A239" s="293" t="str">
        <f t="shared" si="16"/>
        <v>Smelter ListAH6</v>
      </c>
      <c r="B239" s="293" t="s">
        <v>1262</v>
      </c>
      <c r="C239" s="293" t="s">
        <v>12742</v>
      </c>
      <c r="D239" s="293" t="s">
        <v>499</v>
      </c>
      <c r="E239" s="293" t="s">
        <v>13715</v>
      </c>
      <c r="F239" s="346" t="s">
        <v>14733</v>
      </c>
      <c r="G239" s="293" t="s">
        <v>565</v>
      </c>
      <c r="H239" s="293" t="s">
        <v>499</v>
      </c>
      <c r="I239" s="293" t="s">
        <v>241</v>
      </c>
      <c r="J239" s="293" t="s">
        <v>18</v>
      </c>
      <c r="K239" s="287" t="s">
        <v>499</v>
      </c>
      <c r="L239" s="300" t="s">
        <v>183</v>
      </c>
      <c r="M239" s="293" t="s">
        <v>15178</v>
      </c>
    </row>
    <row r="240" spans="1:13" ht="28.5">
      <c r="A240" s="293" t="str">
        <f t="shared" si="16"/>
        <v>Smelter ListAH7</v>
      </c>
      <c r="B240" s="293" t="s">
        <v>1262</v>
      </c>
      <c r="C240" s="293" t="s">
        <v>12743</v>
      </c>
      <c r="D240" s="293" t="s">
        <v>500</v>
      </c>
      <c r="E240" s="293" t="s">
        <v>13716</v>
      </c>
      <c r="F240" s="346" t="s">
        <v>14734</v>
      </c>
      <c r="G240" s="293" t="s">
        <v>566</v>
      </c>
      <c r="H240" s="293" t="s">
        <v>389</v>
      </c>
      <c r="I240" s="293" t="s">
        <v>242</v>
      </c>
      <c r="J240" s="293" t="s">
        <v>19</v>
      </c>
      <c r="K240" s="287" t="s">
        <v>273</v>
      </c>
      <c r="L240" s="300" t="s">
        <v>184</v>
      </c>
      <c r="M240" s="293" t="s">
        <v>15179</v>
      </c>
    </row>
    <row r="241" spans="1:13" ht="57">
      <c r="A241" s="293" t="str">
        <f t="shared" si="16"/>
        <v>CheckerA1</v>
      </c>
      <c r="B241" s="293" t="s">
        <v>1263</v>
      </c>
      <c r="C241" s="293" t="s">
        <v>647</v>
      </c>
      <c r="D241" s="293" t="s">
        <v>13487</v>
      </c>
      <c r="E241" s="293" t="s">
        <v>14546</v>
      </c>
      <c r="F241" s="346" t="s">
        <v>14766</v>
      </c>
      <c r="G241" s="293" t="s">
        <v>1167</v>
      </c>
      <c r="H241" s="293" t="s">
        <v>398</v>
      </c>
      <c r="I241" s="293" t="s">
        <v>259</v>
      </c>
      <c r="J241" s="206" t="s">
        <v>1394</v>
      </c>
      <c r="K241" s="287" t="s">
        <v>1168</v>
      </c>
      <c r="L241" s="300" t="s">
        <v>1342</v>
      </c>
      <c r="M241" s="293" t="s">
        <v>15211</v>
      </c>
    </row>
    <row r="242" spans="1:13">
      <c r="A242" s="293" t="str">
        <f t="shared" si="16"/>
        <v>CheckerD1</v>
      </c>
      <c r="B242" s="293" t="s">
        <v>1263</v>
      </c>
      <c r="C242" s="293" t="s">
        <v>1321</v>
      </c>
      <c r="D242" s="293" t="s">
        <v>922</v>
      </c>
      <c r="E242" s="293" t="s">
        <v>14547</v>
      </c>
      <c r="F242" s="346" t="s">
        <v>14767</v>
      </c>
      <c r="G242" s="293" t="s">
        <v>1169</v>
      </c>
      <c r="H242" s="293" t="s">
        <v>1170</v>
      </c>
      <c r="I242" s="293" t="s">
        <v>260</v>
      </c>
      <c r="J242" s="293" t="s">
        <v>1395</v>
      </c>
      <c r="K242" s="287" t="s">
        <v>1171</v>
      </c>
      <c r="L242" s="300" t="s">
        <v>1343</v>
      </c>
      <c r="M242" s="293" t="s">
        <v>15212</v>
      </c>
    </row>
    <row r="243" spans="1:13">
      <c r="A243" s="293" t="str">
        <f t="shared" si="16"/>
        <v>CheckerA3</v>
      </c>
      <c r="B243" s="293" t="s">
        <v>1263</v>
      </c>
      <c r="C243" s="293" t="s">
        <v>649</v>
      </c>
      <c r="D243" s="293" t="s">
        <v>900</v>
      </c>
      <c r="E243" s="293" t="s">
        <v>14548</v>
      </c>
      <c r="F243" s="346" t="s">
        <v>14768</v>
      </c>
      <c r="G243" s="293" t="s">
        <v>1172</v>
      </c>
      <c r="H243" s="293" t="s">
        <v>1173</v>
      </c>
      <c r="I243" s="293" t="s">
        <v>1174</v>
      </c>
      <c r="J243" s="293" t="s">
        <v>1175</v>
      </c>
      <c r="K243" s="287" t="s">
        <v>1176</v>
      </c>
      <c r="L243" s="300" t="s">
        <v>1344</v>
      </c>
      <c r="M243" s="293" t="s">
        <v>15213</v>
      </c>
    </row>
    <row r="244" spans="1:13">
      <c r="A244" s="293" t="str">
        <f t="shared" si="16"/>
        <v>CheckerB3</v>
      </c>
      <c r="B244" s="293" t="s">
        <v>1263</v>
      </c>
      <c r="C244" s="293" t="s">
        <v>972</v>
      </c>
      <c r="D244" s="293" t="s">
        <v>901</v>
      </c>
      <c r="E244" s="293" t="s">
        <v>14549</v>
      </c>
      <c r="F244" s="346" t="s">
        <v>885</v>
      </c>
      <c r="G244" s="293" t="s">
        <v>1177</v>
      </c>
      <c r="H244" s="293" t="s">
        <v>1178</v>
      </c>
      <c r="I244" s="293" t="s">
        <v>1179</v>
      </c>
      <c r="J244" s="293" t="s">
        <v>1180</v>
      </c>
      <c r="K244" s="287" t="s">
        <v>1181</v>
      </c>
      <c r="L244" s="300" t="s">
        <v>1345</v>
      </c>
      <c r="M244" s="293" t="s">
        <v>15214</v>
      </c>
    </row>
    <row r="245" spans="1:13">
      <c r="A245" s="293" t="str">
        <f t="shared" si="16"/>
        <v>CheckerC3</v>
      </c>
      <c r="B245" s="293" t="s">
        <v>1263</v>
      </c>
      <c r="C245" s="293" t="s">
        <v>993</v>
      </c>
      <c r="D245" s="293" t="s">
        <v>919</v>
      </c>
      <c r="E245" s="293" t="s">
        <v>14550</v>
      </c>
      <c r="F245" s="346" t="s">
        <v>14769</v>
      </c>
      <c r="G245" s="293" t="s">
        <v>1182</v>
      </c>
      <c r="H245" s="293" t="s">
        <v>1183</v>
      </c>
      <c r="I245" s="293" t="s">
        <v>1184</v>
      </c>
      <c r="J245" s="293" t="s">
        <v>1185</v>
      </c>
      <c r="K245" s="287" t="s">
        <v>1184</v>
      </c>
      <c r="L245" s="300" t="s">
        <v>1346</v>
      </c>
      <c r="M245" s="293" t="s">
        <v>15215</v>
      </c>
    </row>
    <row r="246" spans="1:13">
      <c r="A246" s="293" t="str">
        <f t="shared" si="16"/>
        <v>CheckerD3</v>
      </c>
      <c r="B246" s="293" t="s">
        <v>1263</v>
      </c>
      <c r="C246" s="293" t="s">
        <v>1322</v>
      </c>
      <c r="D246" s="293" t="s">
        <v>920</v>
      </c>
      <c r="E246" s="293" t="s">
        <v>14551</v>
      </c>
      <c r="F246" s="346" t="s">
        <v>14770</v>
      </c>
      <c r="G246" s="293" t="s">
        <v>833</v>
      </c>
      <c r="H246" s="293" t="s">
        <v>834</v>
      </c>
      <c r="I246" s="293" t="s">
        <v>261</v>
      </c>
      <c r="J246" s="293" t="s">
        <v>842</v>
      </c>
      <c r="K246" s="287" t="s">
        <v>835</v>
      </c>
      <c r="L246" s="300" t="s">
        <v>13803</v>
      </c>
      <c r="M246" s="293" t="s">
        <v>15216</v>
      </c>
    </row>
    <row r="247" spans="1:13" ht="32.25" customHeight="1">
      <c r="A247" s="293" t="s">
        <v>1465</v>
      </c>
      <c r="B247" s="293" t="s">
        <v>1263</v>
      </c>
      <c r="C247" s="293" t="s">
        <v>1464</v>
      </c>
      <c r="D247" s="293" t="s">
        <v>1466</v>
      </c>
      <c r="E247" s="293" t="s">
        <v>14552</v>
      </c>
      <c r="F247" s="346" t="s">
        <v>2224</v>
      </c>
      <c r="G247" s="293" t="s">
        <v>2225</v>
      </c>
      <c r="H247" s="293" t="s">
        <v>2226</v>
      </c>
      <c r="I247" s="293" t="s">
        <v>2227</v>
      </c>
      <c r="J247" s="293" t="s">
        <v>2228</v>
      </c>
      <c r="K247" s="296" t="s">
        <v>2229</v>
      </c>
      <c r="L247" s="308" t="s">
        <v>2230</v>
      </c>
      <c r="M247" s="293" t="s">
        <v>15217</v>
      </c>
    </row>
    <row r="248" spans="1:13" ht="32.25" customHeight="1">
      <c r="A248" s="293" t="str">
        <f>B248&amp;C248</f>
        <v>CheckerB63</v>
      </c>
      <c r="B248" s="293" t="s">
        <v>1263</v>
      </c>
      <c r="C248" s="293" t="s">
        <v>1902</v>
      </c>
      <c r="D248" s="293" t="s">
        <v>1466</v>
      </c>
      <c r="E248" s="293" t="s">
        <v>14552</v>
      </c>
      <c r="F248" s="346" t="s">
        <v>2224</v>
      </c>
      <c r="G248" s="293" t="s">
        <v>2225</v>
      </c>
      <c r="H248" s="293" t="s">
        <v>2226</v>
      </c>
      <c r="I248" s="293" t="s">
        <v>2227</v>
      </c>
      <c r="J248" s="293" t="s">
        <v>2228</v>
      </c>
      <c r="K248" s="296" t="s">
        <v>2229</v>
      </c>
      <c r="L248" s="308" t="s">
        <v>2230</v>
      </c>
      <c r="M248" s="293" t="s">
        <v>15217</v>
      </c>
    </row>
    <row r="249" spans="1:13" ht="32.25" customHeight="1">
      <c r="A249" s="293" t="str">
        <f>B249&amp;C249</f>
        <v>CheckerB64</v>
      </c>
      <c r="B249" s="293" t="s">
        <v>1263</v>
      </c>
      <c r="C249" s="293" t="s">
        <v>1903</v>
      </c>
      <c r="D249" s="293" t="s">
        <v>1466</v>
      </c>
      <c r="E249" s="293" t="s">
        <v>14552</v>
      </c>
      <c r="F249" s="346" t="s">
        <v>2224</v>
      </c>
      <c r="G249" s="293" t="s">
        <v>2225</v>
      </c>
      <c r="H249" s="293" t="s">
        <v>2226</v>
      </c>
      <c r="I249" s="293" t="s">
        <v>2227</v>
      </c>
      <c r="J249" s="293" t="s">
        <v>2228</v>
      </c>
      <c r="K249" s="296" t="s">
        <v>2229</v>
      </c>
      <c r="L249" s="308" t="s">
        <v>2230</v>
      </c>
      <c r="M249" s="293" t="s">
        <v>15217</v>
      </c>
    </row>
    <row r="250" spans="1:13" ht="32.25" customHeight="1">
      <c r="A250" s="293" t="str">
        <f>B250&amp;C250</f>
        <v>CheckerB65</v>
      </c>
      <c r="B250" s="293" t="s">
        <v>1263</v>
      </c>
      <c r="C250" s="293" t="s">
        <v>1904</v>
      </c>
      <c r="D250" s="293" t="s">
        <v>1466</v>
      </c>
      <c r="E250" s="293" t="s">
        <v>14552</v>
      </c>
      <c r="F250" s="346" t="s">
        <v>2224</v>
      </c>
      <c r="G250" s="293" t="s">
        <v>2225</v>
      </c>
      <c r="H250" s="293" t="s">
        <v>2226</v>
      </c>
      <c r="I250" s="293" t="s">
        <v>2227</v>
      </c>
      <c r="J250" s="293" t="s">
        <v>2228</v>
      </c>
      <c r="K250" s="296" t="s">
        <v>2229</v>
      </c>
      <c r="L250" s="308" t="s">
        <v>2230</v>
      </c>
      <c r="M250" s="293" t="s">
        <v>15217</v>
      </c>
    </row>
    <row r="251" spans="1:13" ht="32.25" customHeight="1">
      <c r="A251" s="293" t="s">
        <v>1484</v>
      </c>
      <c r="B251" s="293" t="s">
        <v>1263</v>
      </c>
      <c r="C251" s="293" t="s">
        <v>1483</v>
      </c>
      <c r="D251" s="293" t="s">
        <v>1485</v>
      </c>
      <c r="E251" s="293" t="s">
        <v>14553</v>
      </c>
      <c r="F251" s="346" t="s">
        <v>1933</v>
      </c>
      <c r="G251" s="293" t="s">
        <v>1934</v>
      </c>
      <c r="H251" s="293" t="s">
        <v>1935</v>
      </c>
      <c r="I251" s="293" t="s">
        <v>1936</v>
      </c>
      <c r="J251" s="293" t="s">
        <v>1937</v>
      </c>
      <c r="K251" s="296" t="s">
        <v>1485</v>
      </c>
      <c r="L251" s="308" t="s">
        <v>1938</v>
      </c>
      <c r="M251" s="293" t="s">
        <v>2599</v>
      </c>
    </row>
    <row r="252" spans="1:13" ht="28.5">
      <c r="A252" s="293" t="s">
        <v>1467</v>
      </c>
      <c r="B252" s="293" t="s">
        <v>1263</v>
      </c>
      <c r="C252" s="293" t="s">
        <v>1314</v>
      </c>
      <c r="D252" s="293" t="s">
        <v>1557</v>
      </c>
      <c r="E252" s="293" t="s">
        <v>14554</v>
      </c>
      <c r="F252" s="346" t="s">
        <v>1939</v>
      </c>
      <c r="G252" s="293" t="s">
        <v>1940</v>
      </c>
      <c r="H252" s="293" t="s">
        <v>1941</v>
      </c>
      <c r="I252" s="293" t="s">
        <v>1942</v>
      </c>
      <c r="J252" s="293" t="s">
        <v>1943</v>
      </c>
      <c r="K252" s="296" t="s">
        <v>1944</v>
      </c>
      <c r="L252" s="308" t="s">
        <v>1945</v>
      </c>
      <c r="M252" s="293" t="s">
        <v>15218</v>
      </c>
    </row>
    <row r="253" spans="1:13" ht="42.75">
      <c r="A253" s="293" t="s">
        <v>1486</v>
      </c>
      <c r="B253" s="293" t="s">
        <v>1263</v>
      </c>
      <c r="C253" s="293" t="s">
        <v>1468</v>
      </c>
      <c r="D253" s="293" t="s">
        <v>1556</v>
      </c>
      <c r="E253" s="293" t="s">
        <v>14555</v>
      </c>
      <c r="F253" s="346" t="s">
        <v>1946</v>
      </c>
      <c r="G253" s="293" t="s">
        <v>1947</v>
      </c>
      <c r="H253" s="293" t="s">
        <v>1948</v>
      </c>
      <c r="I253" s="293" t="s">
        <v>1949</v>
      </c>
      <c r="J253" s="293" t="s">
        <v>1950</v>
      </c>
      <c r="K253" s="296" t="s">
        <v>1951</v>
      </c>
      <c r="L253" s="308" t="s">
        <v>1952</v>
      </c>
      <c r="M253" s="293" t="s">
        <v>15219</v>
      </c>
    </row>
    <row r="254" spans="1:13" ht="28.5">
      <c r="A254" s="293" t="s">
        <v>1530</v>
      </c>
      <c r="B254" s="293" t="s">
        <v>1263</v>
      </c>
      <c r="C254" s="293" t="s">
        <v>1469</v>
      </c>
      <c r="D254" s="293" t="s">
        <v>1562</v>
      </c>
      <c r="E254" s="293" t="s">
        <v>14556</v>
      </c>
      <c r="F254" s="346" t="s">
        <v>1953</v>
      </c>
      <c r="G254" s="293" t="s">
        <v>1954</v>
      </c>
      <c r="H254" s="293" t="s">
        <v>1955</v>
      </c>
      <c r="I254" s="293" t="s">
        <v>1956</v>
      </c>
      <c r="J254" s="293" t="s">
        <v>1957</v>
      </c>
      <c r="K254" s="296" t="s">
        <v>1958</v>
      </c>
      <c r="L254" s="308" t="s">
        <v>1959</v>
      </c>
      <c r="M254" s="293" t="s">
        <v>15220</v>
      </c>
    </row>
    <row r="255" spans="1:13" ht="28.5">
      <c r="A255" s="293" t="s">
        <v>1531</v>
      </c>
      <c r="B255" s="293" t="s">
        <v>1263</v>
      </c>
      <c r="C255" s="293" t="s">
        <v>1470</v>
      </c>
      <c r="D255" s="293" t="s">
        <v>1511</v>
      </c>
      <c r="E255" s="293" t="s">
        <v>14557</v>
      </c>
      <c r="F255" s="346" t="s">
        <v>1960</v>
      </c>
      <c r="G255" s="293" t="s">
        <v>1961</v>
      </c>
      <c r="H255" s="293" t="s">
        <v>1962</v>
      </c>
      <c r="I255" s="293" t="s">
        <v>1963</v>
      </c>
      <c r="J255" s="293" t="s">
        <v>1964</v>
      </c>
      <c r="K255" s="296" t="s">
        <v>1965</v>
      </c>
      <c r="L255" s="308" t="s">
        <v>1966</v>
      </c>
      <c r="M255" s="293" t="s">
        <v>15221</v>
      </c>
    </row>
    <row r="256" spans="1:13" ht="42.75">
      <c r="A256" s="293" t="s">
        <v>1540</v>
      </c>
      <c r="B256" s="293" t="s">
        <v>1263</v>
      </c>
      <c r="C256" s="293" t="s">
        <v>1471</v>
      </c>
      <c r="D256" s="293" t="s">
        <v>2593</v>
      </c>
      <c r="E256" s="293" t="s">
        <v>14558</v>
      </c>
      <c r="F256" s="346" t="s">
        <v>2602</v>
      </c>
      <c r="G256" s="293" t="s">
        <v>2604</v>
      </c>
      <c r="H256" s="293" t="s">
        <v>2607</v>
      </c>
      <c r="I256" s="293" t="s">
        <v>2610</v>
      </c>
      <c r="J256" s="293" t="s">
        <v>2613</v>
      </c>
      <c r="K256" s="296" t="s">
        <v>2616</v>
      </c>
      <c r="L256" s="308" t="s">
        <v>2619</v>
      </c>
      <c r="M256" s="293" t="s">
        <v>2622</v>
      </c>
    </row>
    <row r="257" spans="1:13" ht="28.5">
      <c r="A257" s="293" t="s">
        <v>1541</v>
      </c>
      <c r="B257" s="293" t="s">
        <v>1263</v>
      </c>
      <c r="C257" s="293" t="s">
        <v>1472</v>
      </c>
      <c r="D257" s="293" t="s">
        <v>1512</v>
      </c>
      <c r="E257" s="293" t="s">
        <v>14559</v>
      </c>
      <c r="F257" s="346" t="s">
        <v>1967</v>
      </c>
      <c r="G257" s="293" t="s">
        <v>1968</v>
      </c>
      <c r="H257" s="293" t="s">
        <v>1969</v>
      </c>
      <c r="I257" s="293" t="s">
        <v>1970</v>
      </c>
      <c r="J257" s="293" t="s">
        <v>1971</v>
      </c>
      <c r="K257" s="296" t="s">
        <v>1972</v>
      </c>
      <c r="L257" s="308" t="s">
        <v>1973</v>
      </c>
      <c r="M257" s="293" t="s">
        <v>15222</v>
      </c>
    </row>
    <row r="258" spans="1:13" ht="42.75">
      <c r="A258" s="293" t="s">
        <v>1542</v>
      </c>
      <c r="B258" s="293" t="s">
        <v>1263</v>
      </c>
      <c r="C258" s="293" t="s">
        <v>1473</v>
      </c>
      <c r="D258" s="293" t="s">
        <v>1513</v>
      </c>
      <c r="E258" s="293" t="s">
        <v>14560</v>
      </c>
      <c r="F258" s="346" t="s">
        <v>1974</v>
      </c>
      <c r="G258" s="293" t="s">
        <v>1975</v>
      </c>
      <c r="H258" s="293" t="s">
        <v>1976</v>
      </c>
      <c r="I258" s="293" t="s">
        <v>1977</v>
      </c>
      <c r="J258" s="293" t="s">
        <v>1978</v>
      </c>
      <c r="K258" s="296" t="s">
        <v>1979</v>
      </c>
      <c r="L258" s="308" t="s">
        <v>1980</v>
      </c>
      <c r="M258" s="293" t="s">
        <v>15223</v>
      </c>
    </row>
    <row r="259" spans="1:13" ht="57">
      <c r="A259" s="293" t="s">
        <v>1543</v>
      </c>
      <c r="B259" s="293" t="s">
        <v>1263</v>
      </c>
      <c r="C259" s="293" t="s">
        <v>1474</v>
      </c>
      <c r="D259" s="293" t="s">
        <v>1514</v>
      </c>
      <c r="E259" s="293" t="s">
        <v>14561</v>
      </c>
      <c r="F259" s="346" t="s">
        <v>2601</v>
      </c>
      <c r="G259" s="293" t="s">
        <v>2605</v>
      </c>
      <c r="H259" s="293" t="s">
        <v>2606</v>
      </c>
      <c r="I259" s="293" t="s">
        <v>14963</v>
      </c>
      <c r="J259" s="293" t="s">
        <v>2612</v>
      </c>
      <c r="K259" s="296" t="s">
        <v>2617</v>
      </c>
      <c r="L259" s="308" t="s">
        <v>2618</v>
      </c>
      <c r="M259" s="293" t="s">
        <v>2623</v>
      </c>
    </row>
    <row r="260" spans="1:13" ht="42.75">
      <c r="A260" s="293" t="s">
        <v>1544</v>
      </c>
      <c r="B260" s="293" t="s">
        <v>1263</v>
      </c>
      <c r="C260" s="293" t="s">
        <v>1475</v>
      </c>
      <c r="D260" s="293" t="s">
        <v>1487</v>
      </c>
      <c r="E260" s="293" t="s">
        <v>14562</v>
      </c>
      <c r="F260" s="346" t="s">
        <v>1981</v>
      </c>
      <c r="G260" s="293" t="s">
        <v>1982</v>
      </c>
      <c r="H260" s="293" t="s">
        <v>1983</v>
      </c>
      <c r="I260" s="293" t="s">
        <v>1984</v>
      </c>
      <c r="J260" s="293" t="s">
        <v>1985</v>
      </c>
      <c r="K260" s="296" t="s">
        <v>1986</v>
      </c>
      <c r="L260" s="308" t="s">
        <v>1987</v>
      </c>
      <c r="M260" s="293" t="s">
        <v>15224</v>
      </c>
    </row>
    <row r="261" spans="1:13" ht="42.75">
      <c r="A261" s="293" t="s">
        <v>14436</v>
      </c>
      <c r="B261" s="293" t="s">
        <v>1263</v>
      </c>
      <c r="C261" s="293" t="s">
        <v>14435</v>
      </c>
      <c r="D261" s="293" t="s">
        <v>1558</v>
      </c>
      <c r="E261" s="293" t="s">
        <v>14563</v>
      </c>
      <c r="F261" s="346" t="s">
        <v>1988</v>
      </c>
      <c r="G261" s="293" t="s">
        <v>1989</v>
      </c>
      <c r="H261" s="293" t="s">
        <v>1990</v>
      </c>
      <c r="I261" s="293" t="s">
        <v>1991</v>
      </c>
      <c r="J261" s="293" t="s">
        <v>1992</v>
      </c>
      <c r="K261" s="296" t="s">
        <v>1993</v>
      </c>
      <c r="L261" s="308" t="s">
        <v>1994</v>
      </c>
      <c r="M261" s="293" t="s">
        <v>15225</v>
      </c>
    </row>
    <row r="262" spans="1:13" ht="42.75">
      <c r="A262" s="293" t="s">
        <v>1545</v>
      </c>
      <c r="B262" s="293" t="s">
        <v>1263</v>
      </c>
      <c r="C262" s="293" t="s">
        <v>1476</v>
      </c>
      <c r="D262" s="293" t="s">
        <v>1559</v>
      </c>
      <c r="E262" s="293" t="s">
        <v>14564</v>
      </c>
      <c r="F262" s="346" t="s">
        <v>1995</v>
      </c>
      <c r="G262" s="293" t="s">
        <v>1996</v>
      </c>
      <c r="H262" s="293" t="s">
        <v>1997</v>
      </c>
      <c r="I262" s="293" t="s">
        <v>1998</v>
      </c>
      <c r="J262" s="293" t="s">
        <v>1999</v>
      </c>
      <c r="K262" s="296" t="s">
        <v>2000</v>
      </c>
      <c r="L262" s="308" t="s">
        <v>2001</v>
      </c>
      <c r="M262" s="293" t="s">
        <v>15226</v>
      </c>
    </row>
    <row r="263" spans="1:13" ht="42.75">
      <c r="A263" s="293" t="s">
        <v>1546</v>
      </c>
      <c r="B263" s="293" t="s">
        <v>1263</v>
      </c>
      <c r="C263" s="293" t="s">
        <v>1477</v>
      </c>
      <c r="D263" s="293" t="s">
        <v>1560</v>
      </c>
      <c r="E263" s="293" t="s">
        <v>14565</v>
      </c>
      <c r="F263" s="346" t="s">
        <v>2002</v>
      </c>
      <c r="G263" s="293" t="s">
        <v>2003</v>
      </c>
      <c r="H263" s="293" t="s">
        <v>2004</v>
      </c>
      <c r="I263" s="293" t="s">
        <v>2005</v>
      </c>
      <c r="J263" s="293" t="s">
        <v>2006</v>
      </c>
      <c r="K263" s="296" t="s">
        <v>2007</v>
      </c>
      <c r="L263" s="308" t="s">
        <v>2008</v>
      </c>
      <c r="M263" s="293" t="s">
        <v>15227</v>
      </c>
    </row>
    <row r="264" spans="1:13" ht="42.75">
      <c r="A264" s="293" t="s">
        <v>1547</v>
      </c>
      <c r="B264" s="293" t="s">
        <v>1263</v>
      </c>
      <c r="C264" s="293" t="s">
        <v>1478</v>
      </c>
      <c r="D264" s="293" t="s">
        <v>1561</v>
      </c>
      <c r="E264" s="293" t="s">
        <v>14566</v>
      </c>
      <c r="F264" s="346" t="s">
        <v>2009</v>
      </c>
      <c r="G264" s="293" t="s">
        <v>2010</v>
      </c>
      <c r="H264" s="293" t="s">
        <v>2011</v>
      </c>
      <c r="I264" s="293" t="s">
        <v>2012</v>
      </c>
      <c r="J264" s="293" t="s">
        <v>2013</v>
      </c>
      <c r="K264" s="296" t="s">
        <v>2014</v>
      </c>
      <c r="L264" s="308" t="s">
        <v>2015</v>
      </c>
      <c r="M264" s="293" t="s">
        <v>15228</v>
      </c>
    </row>
    <row r="265" spans="1:13" ht="57">
      <c r="A265" s="293" t="s">
        <v>14439</v>
      </c>
      <c r="B265" s="293" t="s">
        <v>1263</v>
      </c>
      <c r="C265" s="293" t="s">
        <v>14437</v>
      </c>
      <c r="D265" s="293" t="s">
        <v>1488</v>
      </c>
      <c r="E265" s="293" t="s">
        <v>14567</v>
      </c>
      <c r="F265" s="346" t="s">
        <v>2016</v>
      </c>
      <c r="G265" s="293" t="s">
        <v>2017</v>
      </c>
      <c r="H265" s="293" t="s">
        <v>2018</v>
      </c>
      <c r="I265" s="293" t="s">
        <v>2019</v>
      </c>
      <c r="J265" s="293" t="s">
        <v>2020</v>
      </c>
      <c r="K265" s="296" t="s">
        <v>2021</v>
      </c>
      <c r="L265" s="308" t="s">
        <v>2022</v>
      </c>
      <c r="M265" s="293" t="s">
        <v>15229</v>
      </c>
    </row>
    <row r="266" spans="1:13" ht="57">
      <c r="A266" s="293" t="s">
        <v>1548</v>
      </c>
      <c r="B266" s="293" t="s">
        <v>1263</v>
      </c>
      <c r="C266" s="293" t="s">
        <v>1479</v>
      </c>
      <c r="D266" s="293" t="s">
        <v>1489</v>
      </c>
      <c r="E266" s="293" t="s">
        <v>14568</v>
      </c>
      <c r="F266" s="346" t="s">
        <v>2023</v>
      </c>
      <c r="G266" s="293" t="s">
        <v>2024</v>
      </c>
      <c r="H266" s="293" t="s">
        <v>2025</v>
      </c>
      <c r="I266" s="293" t="s">
        <v>2026</v>
      </c>
      <c r="J266" s="293" t="s">
        <v>2027</v>
      </c>
      <c r="K266" s="296" t="s">
        <v>2028</v>
      </c>
      <c r="L266" s="308" t="s">
        <v>2029</v>
      </c>
      <c r="M266" s="293" t="s">
        <v>15230</v>
      </c>
    </row>
    <row r="267" spans="1:13" ht="57">
      <c r="A267" s="293" t="s">
        <v>1549</v>
      </c>
      <c r="B267" s="293" t="s">
        <v>1263</v>
      </c>
      <c r="C267" s="293" t="s">
        <v>1480</v>
      </c>
      <c r="D267" s="293" t="s">
        <v>1490</v>
      </c>
      <c r="E267" s="293" t="s">
        <v>14569</v>
      </c>
      <c r="F267" s="346" t="s">
        <v>2030</v>
      </c>
      <c r="G267" s="293" t="s">
        <v>2031</v>
      </c>
      <c r="H267" s="293" t="s">
        <v>2032</v>
      </c>
      <c r="I267" s="293" t="s">
        <v>2033</v>
      </c>
      <c r="J267" s="293" t="s">
        <v>2034</v>
      </c>
      <c r="K267" s="296" t="s">
        <v>2035</v>
      </c>
      <c r="L267" s="308" t="s">
        <v>2036</v>
      </c>
      <c r="M267" s="293" t="s">
        <v>15231</v>
      </c>
    </row>
    <row r="268" spans="1:13" ht="57">
      <c r="A268" s="293" t="s">
        <v>1550</v>
      </c>
      <c r="B268" s="293" t="s">
        <v>1263</v>
      </c>
      <c r="C268" s="293" t="s">
        <v>1481</v>
      </c>
      <c r="D268" s="293" t="s">
        <v>1491</v>
      </c>
      <c r="E268" s="293" t="s">
        <v>14570</v>
      </c>
      <c r="F268" s="346" t="s">
        <v>2037</v>
      </c>
      <c r="G268" s="293" t="s">
        <v>2038</v>
      </c>
      <c r="H268" s="293" t="s">
        <v>2039</v>
      </c>
      <c r="I268" s="293" t="s">
        <v>2040</v>
      </c>
      <c r="J268" s="293" t="s">
        <v>2041</v>
      </c>
      <c r="K268" s="296" t="s">
        <v>2042</v>
      </c>
      <c r="L268" s="308" t="s">
        <v>2043</v>
      </c>
      <c r="M268" s="293" t="s">
        <v>15232</v>
      </c>
    </row>
    <row r="269" spans="1:13" ht="71.25">
      <c r="A269" s="293" t="s">
        <v>14440</v>
      </c>
      <c r="B269" s="293" t="s">
        <v>1263</v>
      </c>
      <c r="C269" s="293" t="s">
        <v>14438</v>
      </c>
      <c r="D269" s="293" t="s">
        <v>1492</v>
      </c>
      <c r="E269" s="293" t="s">
        <v>14571</v>
      </c>
      <c r="F269" s="346" t="s">
        <v>2044</v>
      </c>
      <c r="G269" s="293" t="s">
        <v>2045</v>
      </c>
      <c r="H269" s="293" t="s">
        <v>2046</v>
      </c>
      <c r="I269" s="293" t="s">
        <v>2047</v>
      </c>
      <c r="J269" s="293" t="s">
        <v>2048</v>
      </c>
      <c r="K269" s="296" t="s">
        <v>2049</v>
      </c>
      <c r="L269" s="308" t="s">
        <v>2050</v>
      </c>
      <c r="M269" s="293" t="s">
        <v>15233</v>
      </c>
    </row>
    <row r="270" spans="1:13" ht="71.25">
      <c r="A270" s="293" t="s">
        <v>1551</v>
      </c>
      <c r="B270" s="293" t="s">
        <v>1263</v>
      </c>
      <c r="C270" s="293" t="s">
        <v>1515</v>
      </c>
      <c r="D270" s="293" t="s">
        <v>1493</v>
      </c>
      <c r="E270" s="293" t="s">
        <v>14572</v>
      </c>
      <c r="F270" s="346" t="s">
        <v>2051</v>
      </c>
      <c r="G270" s="293" t="s">
        <v>2052</v>
      </c>
      <c r="H270" s="293" t="s">
        <v>2053</v>
      </c>
      <c r="I270" s="293" t="s">
        <v>2054</v>
      </c>
      <c r="J270" s="293" t="s">
        <v>2055</v>
      </c>
      <c r="K270" s="296" t="s">
        <v>2056</v>
      </c>
      <c r="L270" s="308" t="s">
        <v>2057</v>
      </c>
      <c r="M270" s="293" t="s">
        <v>15234</v>
      </c>
    </row>
    <row r="271" spans="1:13" ht="71.25">
      <c r="A271" s="293" t="s">
        <v>1552</v>
      </c>
      <c r="B271" s="293" t="s">
        <v>1263</v>
      </c>
      <c r="C271" s="293" t="s">
        <v>1516</v>
      </c>
      <c r="D271" s="293" t="s">
        <v>1494</v>
      </c>
      <c r="E271" s="293" t="s">
        <v>14573</v>
      </c>
      <c r="F271" s="346" t="s">
        <v>2058</v>
      </c>
      <c r="G271" s="293" t="s">
        <v>2059</v>
      </c>
      <c r="H271" s="293" t="s">
        <v>2060</v>
      </c>
      <c r="I271" s="293" t="s">
        <v>2061</v>
      </c>
      <c r="J271" s="293" t="s">
        <v>2062</v>
      </c>
      <c r="K271" s="296" t="s">
        <v>2063</v>
      </c>
      <c r="L271" s="308" t="s">
        <v>2064</v>
      </c>
      <c r="M271" s="293" t="s">
        <v>15235</v>
      </c>
    </row>
    <row r="272" spans="1:13" ht="71.25">
      <c r="A272" s="293" t="s">
        <v>1553</v>
      </c>
      <c r="B272" s="293" t="s">
        <v>1263</v>
      </c>
      <c r="C272" s="293" t="s">
        <v>1517</v>
      </c>
      <c r="D272" s="293" t="s">
        <v>1495</v>
      </c>
      <c r="E272" s="293" t="s">
        <v>14574</v>
      </c>
      <c r="F272" s="346" t="s">
        <v>2065</v>
      </c>
      <c r="G272" s="293" t="s">
        <v>2066</v>
      </c>
      <c r="H272" s="293" t="s">
        <v>2067</v>
      </c>
      <c r="I272" s="293" t="s">
        <v>2068</v>
      </c>
      <c r="J272" s="293" t="s">
        <v>2069</v>
      </c>
      <c r="K272" s="296" t="s">
        <v>2070</v>
      </c>
      <c r="L272" s="308" t="s">
        <v>2071</v>
      </c>
      <c r="M272" s="293" t="s">
        <v>15236</v>
      </c>
    </row>
    <row r="273" spans="1:13" ht="71.25">
      <c r="A273" s="293" t="s">
        <v>14473</v>
      </c>
      <c r="B273" s="293" t="s">
        <v>1263</v>
      </c>
      <c r="C273" s="293" t="s">
        <v>14481</v>
      </c>
      <c r="D273" s="293" t="s">
        <v>15388</v>
      </c>
      <c r="E273" s="293" t="s">
        <v>15389</v>
      </c>
      <c r="F273" s="346" t="s">
        <v>15390</v>
      </c>
      <c r="G273" s="293" t="s">
        <v>15391</v>
      </c>
      <c r="H273" s="293" t="s">
        <v>15392</v>
      </c>
      <c r="I273" s="293" t="s">
        <v>15393</v>
      </c>
      <c r="J273" s="293" t="s">
        <v>15394</v>
      </c>
      <c r="K273" s="293" t="s">
        <v>15395</v>
      </c>
      <c r="L273" s="293" t="s">
        <v>15396</v>
      </c>
      <c r="M273" s="293" t="s">
        <v>15397</v>
      </c>
    </row>
    <row r="274" spans="1:13" ht="71.25">
      <c r="A274" s="293" t="s">
        <v>14474</v>
      </c>
      <c r="B274" s="293" t="s">
        <v>1263</v>
      </c>
      <c r="C274" s="188" t="s">
        <v>1518</v>
      </c>
      <c r="D274" s="293" t="s">
        <v>15398</v>
      </c>
      <c r="E274" s="293" t="s">
        <v>15399</v>
      </c>
      <c r="F274" s="346" t="s">
        <v>15400</v>
      </c>
      <c r="G274" s="293" t="s">
        <v>15401</v>
      </c>
      <c r="H274" s="293" t="s">
        <v>15402</v>
      </c>
      <c r="I274" s="293" t="s">
        <v>15403</v>
      </c>
      <c r="J274" s="293" t="s">
        <v>15404</v>
      </c>
      <c r="K274" s="293" t="s">
        <v>15405</v>
      </c>
      <c r="L274" s="293" t="s">
        <v>15406</v>
      </c>
      <c r="M274" s="293" t="s">
        <v>15407</v>
      </c>
    </row>
    <row r="275" spans="1:13" ht="71.25">
      <c r="A275" s="293" t="s">
        <v>14441</v>
      </c>
      <c r="B275" s="293" t="s">
        <v>1263</v>
      </c>
      <c r="C275" s="188" t="s">
        <v>1519</v>
      </c>
      <c r="D275" s="293" t="s">
        <v>15413</v>
      </c>
      <c r="E275" s="293" t="s">
        <v>15414</v>
      </c>
      <c r="F275" s="346" t="s">
        <v>15415</v>
      </c>
      <c r="G275" s="293" t="s">
        <v>15416</v>
      </c>
      <c r="H275" s="293" t="s">
        <v>15417</v>
      </c>
      <c r="I275" s="293" t="s">
        <v>15412</v>
      </c>
      <c r="J275" s="293" t="s">
        <v>15411</v>
      </c>
      <c r="K275" s="293" t="s">
        <v>15410</v>
      </c>
      <c r="L275" s="293" t="s">
        <v>15409</v>
      </c>
      <c r="M275" s="293" t="s">
        <v>15408</v>
      </c>
    </row>
    <row r="276" spans="1:13" ht="71.25">
      <c r="A276" s="293" t="s">
        <v>14442</v>
      </c>
      <c r="B276" s="293" t="s">
        <v>1263</v>
      </c>
      <c r="C276" s="293" t="s">
        <v>1520</v>
      </c>
      <c r="D276" s="293" t="s">
        <v>15418</v>
      </c>
      <c r="E276" s="293" t="s">
        <v>15419</v>
      </c>
      <c r="F276" s="346" t="s">
        <v>15420</v>
      </c>
      <c r="G276" s="293" t="s">
        <v>15421</v>
      </c>
      <c r="H276" s="293" t="s">
        <v>15422</v>
      </c>
      <c r="I276" s="293" t="s">
        <v>15423</v>
      </c>
      <c r="J276" s="293" t="s">
        <v>15424</v>
      </c>
      <c r="K276" s="293" t="s">
        <v>15425</v>
      </c>
      <c r="L276" s="293" t="s">
        <v>15426</v>
      </c>
      <c r="M276" s="293" t="s">
        <v>15427</v>
      </c>
    </row>
    <row r="277" spans="1:13" ht="71.25">
      <c r="A277" s="293" t="s">
        <v>14443</v>
      </c>
      <c r="B277" s="293" t="s">
        <v>1263</v>
      </c>
      <c r="C277" s="293" t="s">
        <v>14467</v>
      </c>
      <c r="D277" s="293" t="s">
        <v>1496</v>
      </c>
      <c r="E277" s="257" t="s">
        <v>13736</v>
      </c>
      <c r="F277" s="346" t="s">
        <v>15491</v>
      </c>
      <c r="G277" s="293" t="s">
        <v>2072</v>
      </c>
      <c r="H277" s="293" t="s">
        <v>2073</v>
      </c>
      <c r="I277" s="293" t="s">
        <v>2074</v>
      </c>
      <c r="J277" s="293" t="s">
        <v>2075</v>
      </c>
      <c r="K277" s="296" t="s">
        <v>2076</v>
      </c>
      <c r="L277" s="308" t="s">
        <v>2077</v>
      </c>
      <c r="M277" s="293" t="s">
        <v>15237</v>
      </c>
    </row>
    <row r="278" spans="1:13" ht="71.25">
      <c r="A278" s="293" t="s">
        <v>14475</v>
      </c>
      <c r="B278" s="293" t="s">
        <v>1263</v>
      </c>
      <c r="C278" s="293" t="s">
        <v>1521</v>
      </c>
      <c r="D278" s="188" t="s">
        <v>1497</v>
      </c>
      <c r="E278" s="257" t="s">
        <v>13737</v>
      </c>
      <c r="F278" s="337" t="s">
        <v>15492</v>
      </c>
      <c r="G278" s="188" t="s">
        <v>2078</v>
      </c>
      <c r="H278" s="188" t="s">
        <v>2079</v>
      </c>
      <c r="I278" s="188" t="s">
        <v>2080</v>
      </c>
      <c r="J278" s="188" t="s">
        <v>2081</v>
      </c>
      <c r="K278" s="296" t="s">
        <v>2082</v>
      </c>
      <c r="L278" s="322" t="s">
        <v>2083</v>
      </c>
      <c r="M278" s="188" t="s">
        <v>15238</v>
      </c>
    </row>
    <row r="279" spans="1:13" ht="71.25">
      <c r="A279" s="293" t="s">
        <v>14444</v>
      </c>
      <c r="B279" s="293" t="s">
        <v>1263</v>
      </c>
      <c r="C279" s="293" t="s">
        <v>1522</v>
      </c>
      <c r="D279" s="293" t="s">
        <v>1498</v>
      </c>
      <c r="E279" s="257" t="s">
        <v>13738</v>
      </c>
      <c r="F279" s="346" t="s">
        <v>15493</v>
      </c>
      <c r="G279" s="293" t="s">
        <v>2084</v>
      </c>
      <c r="H279" s="293" t="s">
        <v>2085</v>
      </c>
      <c r="I279" s="293" t="s">
        <v>2086</v>
      </c>
      <c r="J279" s="293" t="s">
        <v>2087</v>
      </c>
      <c r="K279" s="296" t="s">
        <v>2088</v>
      </c>
      <c r="L279" s="308" t="s">
        <v>2089</v>
      </c>
      <c r="M279" s="293" t="s">
        <v>15239</v>
      </c>
    </row>
    <row r="280" spans="1:13" ht="71.25">
      <c r="A280" s="293" t="s">
        <v>14445</v>
      </c>
      <c r="B280" s="293" t="s">
        <v>1263</v>
      </c>
      <c r="C280" s="293" t="s">
        <v>1523</v>
      </c>
      <c r="D280" s="293" t="s">
        <v>1499</v>
      </c>
      <c r="E280" s="257" t="s">
        <v>13739</v>
      </c>
      <c r="F280" s="346" t="s">
        <v>15494</v>
      </c>
      <c r="G280" s="293" t="s">
        <v>2090</v>
      </c>
      <c r="H280" s="293" t="s">
        <v>2091</v>
      </c>
      <c r="I280" s="293" t="s">
        <v>2092</v>
      </c>
      <c r="J280" s="293" t="s">
        <v>2093</v>
      </c>
      <c r="K280" s="296" t="s">
        <v>2094</v>
      </c>
      <c r="L280" s="308" t="s">
        <v>2095</v>
      </c>
      <c r="M280" s="293" t="s">
        <v>15240</v>
      </c>
    </row>
    <row r="281" spans="1:13" ht="57">
      <c r="A281" s="293" t="s">
        <v>14446</v>
      </c>
      <c r="B281" s="293" t="s">
        <v>1263</v>
      </c>
      <c r="C281" s="293" t="s">
        <v>14468</v>
      </c>
      <c r="D281" s="293" t="s">
        <v>1275</v>
      </c>
      <c r="E281" s="257" t="s">
        <v>13740</v>
      </c>
      <c r="F281" s="346" t="s">
        <v>2096</v>
      </c>
      <c r="G281" s="293" t="s">
        <v>2097</v>
      </c>
      <c r="H281" s="293" t="s">
        <v>2098</v>
      </c>
      <c r="I281" s="293" t="s">
        <v>2099</v>
      </c>
      <c r="J281" s="293" t="s">
        <v>2100</v>
      </c>
      <c r="K281" s="296" t="s">
        <v>2101</v>
      </c>
      <c r="L281" s="308" t="s">
        <v>2102</v>
      </c>
      <c r="M281" s="293" t="s">
        <v>15241</v>
      </c>
    </row>
    <row r="282" spans="1:13" ht="57" customHeight="1">
      <c r="A282" s="293" t="s">
        <v>14476</v>
      </c>
      <c r="B282" s="293" t="s">
        <v>1263</v>
      </c>
      <c r="C282" s="293" t="s">
        <v>1524</v>
      </c>
      <c r="D282" s="293" t="s">
        <v>1276</v>
      </c>
      <c r="E282" s="257" t="s">
        <v>13741</v>
      </c>
      <c r="F282" s="346" t="s">
        <v>2103</v>
      </c>
      <c r="G282" s="293" t="s">
        <v>2104</v>
      </c>
      <c r="H282" s="293" t="s">
        <v>2105</v>
      </c>
      <c r="I282" s="293" t="s">
        <v>2106</v>
      </c>
      <c r="J282" s="293" t="s">
        <v>2107</v>
      </c>
      <c r="K282" s="296" t="s">
        <v>2108</v>
      </c>
      <c r="L282" s="308" t="s">
        <v>2109</v>
      </c>
      <c r="M282" s="293" t="s">
        <v>15242</v>
      </c>
    </row>
    <row r="283" spans="1:13" ht="57" customHeight="1">
      <c r="A283" s="293" t="s">
        <v>14447</v>
      </c>
      <c r="B283" s="293" t="s">
        <v>1263</v>
      </c>
      <c r="C283" s="293" t="s">
        <v>1525</v>
      </c>
      <c r="D283" s="293" t="s">
        <v>1277</v>
      </c>
      <c r="E283" s="257" t="s">
        <v>13742</v>
      </c>
      <c r="F283" s="346" t="s">
        <v>2110</v>
      </c>
      <c r="G283" s="293" t="s">
        <v>2111</v>
      </c>
      <c r="H283" s="293" t="s">
        <v>2112</v>
      </c>
      <c r="I283" s="293" t="s">
        <v>2113</v>
      </c>
      <c r="J283" s="293" t="s">
        <v>2114</v>
      </c>
      <c r="K283" s="296" t="s">
        <v>2115</v>
      </c>
      <c r="L283" s="308" t="s">
        <v>2116</v>
      </c>
      <c r="M283" s="293" t="s">
        <v>15243</v>
      </c>
    </row>
    <row r="284" spans="1:13" ht="57" customHeight="1">
      <c r="A284" s="293" t="s">
        <v>14448</v>
      </c>
      <c r="B284" s="293" t="s">
        <v>1263</v>
      </c>
      <c r="C284" s="293" t="s">
        <v>1526</v>
      </c>
      <c r="D284" s="293" t="s">
        <v>1278</v>
      </c>
      <c r="E284" s="257" t="s">
        <v>13743</v>
      </c>
      <c r="F284" s="346" t="s">
        <v>2117</v>
      </c>
      <c r="G284" s="293" t="s">
        <v>2118</v>
      </c>
      <c r="H284" s="293" t="s">
        <v>2119</v>
      </c>
      <c r="I284" s="293" t="s">
        <v>2120</v>
      </c>
      <c r="J284" s="293" t="s">
        <v>2121</v>
      </c>
      <c r="K284" s="296" t="s">
        <v>2122</v>
      </c>
      <c r="L284" s="308" t="s">
        <v>2123</v>
      </c>
      <c r="M284" s="293" t="s">
        <v>15244</v>
      </c>
    </row>
    <row r="285" spans="1:13" ht="57" customHeight="1">
      <c r="A285" s="293" t="s">
        <v>14449</v>
      </c>
      <c r="B285" s="293" t="s">
        <v>1263</v>
      </c>
      <c r="C285" s="293" t="s">
        <v>14469</v>
      </c>
      <c r="D285" s="293" t="s">
        <v>1500</v>
      </c>
      <c r="E285" s="257" t="s">
        <v>13744</v>
      </c>
      <c r="F285" s="346" t="s">
        <v>2124</v>
      </c>
      <c r="G285" s="293" t="s">
        <v>2125</v>
      </c>
      <c r="H285" s="293" t="s">
        <v>2126</v>
      </c>
      <c r="I285" s="293" t="s">
        <v>2127</v>
      </c>
      <c r="J285" s="293" t="s">
        <v>2128</v>
      </c>
      <c r="K285" s="296" t="s">
        <v>2129</v>
      </c>
      <c r="L285" s="308" t="s">
        <v>2130</v>
      </c>
      <c r="M285" s="293" t="s">
        <v>15245</v>
      </c>
    </row>
    <row r="286" spans="1:13" ht="57">
      <c r="A286" s="293" t="s">
        <v>14477</v>
      </c>
      <c r="B286" s="293" t="s">
        <v>1263</v>
      </c>
      <c r="C286" s="293" t="s">
        <v>1527</v>
      </c>
      <c r="D286" s="293" t="s">
        <v>1501</v>
      </c>
      <c r="E286" s="257" t="s">
        <v>13745</v>
      </c>
      <c r="F286" s="346" t="s">
        <v>2131</v>
      </c>
      <c r="G286" s="293" t="s">
        <v>2132</v>
      </c>
      <c r="H286" s="293" t="s">
        <v>2133</v>
      </c>
      <c r="I286" s="293" t="s">
        <v>2134</v>
      </c>
      <c r="J286" s="293" t="s">
        <v>2135</v>
      </c>
      <c r="K286" s="296" t="s">
        <v>2136</v>
      </c>
      <c r="L286" s="308" t="s">
        <v>2137</v>
      </c>
      <c r="M286" s="293" t="s">
        <v>15246</v>
      </c>
    </row>
    <row r="287" spans="1:13" ht="57">
      <c r="A287" s="293" t="s">
        <v>14450</v>
      </c>
      <c r="B287" s="293" t="s">
        <v>1263</v>
      </c>
      <c r="C287" s="293" t="s">
        <v>1528</v>
      </c>
      <c r="D287" s="293" t="s">
        <v>1502</v>
      </c>
      <c r="E287" s="257" t="s">
        <v>13746</v>
      </c>
      <c r="F287" s="346" t="s">
        <v>2138</v>
      </c>
      <c r="G287" s="293" t="s">
        <v>2139</v>
      </c>
      <c r="H287" s="293" t="s">
        <v>2140</v>
      </c>
      <c r="I287" s="293" t="s">
        <v>2141</v>
      </c>
      <c r="J287" s="293" t="s">
        <v>2142</v>
      </c>
      <c r="K287" s="296" t="s">
        <v>2143</v>
      </c>
      <c r="L287" s="308" t="s">
        <v>2144</v>
      </c>
      <c r="M287" s="293" t="s">
        <v>15247</v>
      </c>
    </row>
    <row r="288" spans="1:13" ht="57">
      <c r="A288" s="293" t="s">
        <v>14451</v>
      </c>
      <c r="B288" s="293" t="s">
        <v>1263</v>
      </c>
      <c r="C288" s="293" t="s">
        <v>1529</v>
      </c>
      <c r="D288" s="293" t="s">
        <v>1503</v>
      </c>
      <c r="E288" s="257" t="s">
        <v>13747</v>
      </c>
      <c r="F288" s="346" t="s">
        <v>2145</v>
      </c>
      <c r="G288" s="293" t="s">
        <v>2146</v>
      </c>
      <c r="H288" s="293" t="s">
        <v>2147</v>
      </c>
      <c r="I288" s="293" t="s">
        <v>2148</v>
      </c>
      <c r="J288" s="293" t="s">
        <v>2149</v>
      </c>
      <c r="K288" s="296" t="s">
        <v>2150</v>
      </c>
      <c r="L288" s="308" t="s">
        <v>2151</v>
      </c>
      <c r="M288" s="293" t="s">
        <v>15248</v>
      </c>
    </row>
    <row r="289" spans="1:13" ht="42.75">
      <c r="A289" s="293" t="s">
        <v>14452</v>
      </c>
      <c r="B289" s="293" t="s">
        <v>1263</v>
      </c>
      <c r="C289" s="293" t="s">
        <v>14470</v>
      </c>
      <c r="D289" s="293" t="s">
        <v>1504</v>
      </c>
      <c r="E289" s="257" t="s">
        <v>13748</v>
      </c>
      <c r="F289" s="346" t="s">
        <v>2152</v>
      </c>
      <c r="G289" s="293" t="s">
        <v>2153</v>
      </c>
      <c r="H289" s="293" t="s">
        <v>2154</v>
      </c>
      <c r="I289" s="293" t="s">
        <v>2155</v>
      </c>
      <c r="J289" s="293" t="s">
        <v>2156</v>
      </c>
      <c r="K289" s="296" t="s">
        <v>2157</v>
      </c>
      <c r="L289" s="308" t="s">
        <v>2158</v>
      </c>
      <c r="M289" s="293" t="s">
        <v>15249</v>
      </c>
    </row>
    <row r="290" spans="1:13" ht="42.75">
      <c r="A290" s="293" t="s">
        <v>14478</v>
      </c>
      <c r="B290" s="293" t="s">
        <v>1263</v>
      </c>
      <c r="C290" s="293" t="s">
        <v>1532</v>
      </c>
      <c r="D290" s="293" t="s">
        <v>1505</v>
      </c>
      <c r="E290" s="257" t="s">
        <v>13749</v>
      </c>
      <c r="F290" s="346" t="s">
        <v>2159</v>
      </c>
      <c r="G290" s="293" t="s">
        <v>2160</v>
      </c>
      <c r="H290" s="293" t="s">
        <v>2161</v>
      </c>
      <c r="I290" s="293" t="s">
        <v>2162</v>
      </c>
      <c r="J290" s="293" t="s">
        <v>2163</v>
      </c>
      <c r="K290" s="296" t="s">
        <v>2164</v>
      </c>
      <c r="L290" s="308" t="s">
        <v>2165</v>
      </c>
      <c r="M290" s="293" t="s">
        <v>15250</v>
      </c>
    </row>
    <row r="291" spans="1:13" ht="42.75">
      <c r="A291" s="293" t="s">
        <v>14453</v>
      </c>
      <c r="B291" s="293" t="s">
        <v>1263</v>
      </c>
      <c r="C291" s="293" t="s">
        <v>1533</v>
      </c>
      <c r="D291" s="293" t="s">
        <v>1506</v>
      </c>
      <c r="E291" s="257" t="s">
        <v>13750</v>
      </c>
      <c r="F291" s="346" t="s">
        <v>2166</v>
      </c>
      <c r="G291" s="293" t="s">
        <v>2167</v>
      </c>
      <c r="H291" s="293" t="s">
        <v>2168</v>
      </c>
      <c r="I291" s="293" t="s">
        <v>2169</v>
      </c>
      <c r="J291" s="293" t="s">
        <v>2170</v>
      </c>
      <c r="K291" s="296" t="s">
        <v>2171</v>
      </c>
      <c r="L291" s="308" t="s">
        <v>2172</v>
      </c>
      <c r="M291" s="293" t="s">
        <v>15251</v>
      </c>
    </row>
    <row r="292" spans="1:13" ht="42.75">
      <c r="A292" s="293" t="s">
        <v>14454</v>
      </c>
      <c r="B292" s="293" t="s">
        <v>1263</v>
      </c>
      <c r="C292" s="293" t="s">
        <v>1534</v>
      </c>
      <c r="D292" s="293" t="s">
        <v>1507</v>
      </c>
      <c r="E292" s="257" t="s">
        <v>13751</v>
      </c>
      <c r="F292" s="346" t="s">
        <v>2173</v>
      </c>
      <c r="G292" s="293" t="s">
        <v>2174</v>
      </c>
      <c r="H292" s="293" t="s">
        <v>2175</v>
      </c>
      <c r="I292" s="293" t="s">
        <v>2176</v>
      </c>
      <c r="J292" s="293" t="s">
        <v>2177</v>
      </c>
      <c r="K292" s="296" t="s">
        <v>2178</v>
      </c>
      <c r="L292" s="308" t="s">
        <v>2179</v>
      </c>
      <c r="M292" s="293" t="s">
        <v>15252</v>
      </c>
    </row>
    <row r="293" spans="1:13" ht="57">
      <c r="A293" s="293" t="s">
        <v>14455</v>
      </c>
      <c r="B293" s="293" t="s">
        <v>1263</v>
      </c>
      <c r="C293" s="293" t="s">
        <v>14471</v>
      </c>
      <c r="D293" s="293" t="s">
        <v>15307</v>
      </c>
      <c r="E293" s="293" t="s">
        <v>14575</v>
      </c>
      <c r="F293" s="346" t="s">
        <v>15495</v>
      </c>
      <c r="G293" s="293" t="s">
        <v>14849</v>
      </c>
      <c r="H293" s="293" t="s">
        <v>14906</v>
      </c>
      <c r="I293" s="293" t="s">
        <v>14964</v>
      </c>
      <c r="J293" s="293" t="s">
        <v>15306</v>
      </c>
      <c r="K293" s="293" t="s">
        <v>15022</v>
      </c>
      <c r="L293" s="293" t="s">
        <v>15076</v>
      </c>
      <c r="M293" s="293" t="s">
        <v>15253</v>
      </c>
    </row>
    <row r="294" spans="1:13" ht="71.25">
      <c r="A294" s="293" t="s">
        <v>14479</v>
      </c>
      <c r="B294" s="293" t="s">
        <v>1263</v>
      </c>
      <c r="C294" s="293" t="s">
        <v>1535</v>
      </c>
      <c r="D294" s="293" t="s">
        <v>15309</v>
      </c>
      <c r="E294" s="293" t="s">
        <v>14576</v>
      </c>
      <c r="F294" s="346" t="s">
        <v>15496</v>
      </c>
      <c r="G294" s="293" t="s">
        <v>14850</v>
      </c>
      <c r="H294" s="293" t="s">
        <v>14907</v>
      </c>
      <c r="I294" s="293" t="s">
        <v>14965</v>
      </c>
      <c r="J294" s="293" t="s">
        <v>15308</v>
      </c>
      <c r="K294" s="293" t="s">
        <v>15023</v>
      </c>
      <c r="L294" s="293" t="s">
        <v>15077</v>
      </c>
      <c r="M294" s="293" t="s">
        <v>15254</v>
      </c>
    </row>
    <row r="295" spans="1:13" ht="57">
      <c r="A295" s="293" t="s">
        <v>14456</v>
      </c>
      <c r="B295" s="293" t="s">
        <v>1263</v>
      </c>
      <c r="C295" s="293" t="s">
        <v>1536</v>
      </c>
      <c r="D295" s="293" t="s">
        <v>14417</v>
      </c>
      <c r="E295" s="257" t="s">
        <v>14418</v>
      </c>
      <c r="F295" s="346" t="s">
        <v>14419</v>
      </c>
      <c r="G295" s="293" t="s">
        <v>14420</v>
      </c>
      <c r="H295" s="293" t="s">
        <v>14421</v>
      </c>
      <c r="I295" s="293" t="s">
        <v>14422</v>
      </c>
      <c r="J295" s="293" t="s">
        <v>14423</v>
      </c>
      <c r="K295" s="296" t="s">
        <v>14424</v>
      </c>
      <c r="L295" s="308" t="s">
        <v>14425</v>
      </c>
      <c r="M295" s="293" t="s">
        <v>14426</v>
      </c>
    </row>
    <row r="296" spans="1:13" ht="99.75">
      <c r="A296" s="293" t="s">
        <v>14457</v>
      </c>
      <c r="B296" s="293" t="s">
        <v>1263</v>
      </c>
      <c r="C296" s="293" t="s">
        <v>1537</v>
      </c>
      <c r="D296" s="293" t="s">
        <v>15331</v>
      </c>
      <c r="E296" s="293" t="s">
        <v>15332</v>
      </c>
      <c r="F296" s="346" t="s">
        <v>15497</v>
      </c>
      <c r="G296" s="293" t="s">
        <v>15333</v>
      </c>
      <c r="H296" s="293" t="s">
        <v>15334</v>
      </c>
      <c r="I296" s="293" t="s">
        <v>15335</v>
      </c>
      <c r="J296" s="293" t="s">
        <v>15336</v>
      </c>
      <c r="K296" s="293" t="s">
        <v>15337</v>
      </c>
      <c r="L296" s="293" t="s">
        <v>15338</v>
      </c>
      <c r="M296" s="293" t="s">
        <v>15339</v>
      </c>
    </row>
    <row r="297" spans="1:13" ht="57">
      <c r="A297" s="293" t="s">
        <v>14458</v>
      </c>
      <c r="B297" s="293" t="s">
        <v>1263</v>
      </c>
      <c r="C297" s="187" t="s">
        <v>1538</v>
      </c>
      <c r="D297" s="293" t="s">
        <v>15340</v>
      </c>
      <c r="E297" s="293" t="s">
        <v>15341</v>
      </c>
      <c r="F297" s="346" t="s">
        <v>15498</v>
      </c>
      <c r="G297" s="293" t="s">
        <v>15342</v>
      </c>
      <c r="H297" s="293" t="s">
        <v>15343</v>
      </c>
      <c r="I297" s="293" t="s">
        <v>15344</v>
      </c>
      <c r="J297" s="293" t="s">
        <v>15345</v>
      </c>
      <c r="K297" s="293" t="s">
        <v>15346</v>
      </c>
      <c r="L297" s="293" t="s">
        <v>15347</v>
      </c>
      <c r="M297" s="293" t="s">
        <v>15348</v>
      </c>
    </row>
    <row r="298" spans="1:13" ht="57">
      <c r="A298" s="293" t="s">
        <v>14459</v>
      </c>
      <c r="B298" s="293" t="s">
        <v>1263</v>
      </c>
      <c r="C298" s="293" t="s">
        <v>14427</v>
      </c>
      <c r="D298" s="293" t="s">
        <v>15349</v>
      </c>
      <c r="E298" s="257" t="s">
        <v>15350</v>
      </c>
      <c r="F298" s="346" t="s">
        <v>15499</v>
      </c>
      <c r="G298" s="293" t="s">
        <v>15351</v>
      </c>
      <c r="H298" s="293" t="s">
        <v>15352</v>
      </c>
      <c r="I298" s="293" t="s">
        <v>15353</v>
      </c>
      <c r="J298" s="293" t="s">
        <v>15354</v>
      </c>
      <c r="K298" s="296" t="s">
        <v>15355</v>
      </c>
      <c r="L298" s="308" t="s">
        <v>15356</v>
      </c>
      <c r="M298" s="293" t="s">
        <v>15357</v>
      </c>
    </row>
    <row r="299" spans="1:13" ht="42.75">
      <c r="A299" s="293" t="s">
        <v>1263</v>
      </c>
      <c r="D299" s="293" t="s">
        <v>1508</v>
      </c>
      <c r="E299" s="257" t="s">
        <v>13752</v>
      </c>
      <c r="F299" s="346" t="s">
        <v>15500</v>
      </c>
      <c r="G299" s="293" t="s">
        <v>2180</v>
      </c>
      <c r="H299" s="293" t="s">
        <v>2181</v>
      </c>
      <c r="I299" s="293" t="s">
        <v>2182</v>
      </c>
      <c r="J299" s="293" t="s">
        <v>2183</v>
      </c>
      <c r="K299" s="296" t="s">
        <v>2184</v>
      </c>
      <c r="L299" s="308" t="s">
        <v>2185</v>
      </c>
      <c r="M299" s="293" t="s">
        <v>15255</v>
      </c>
    </row>
    <row r="300" spans="1:13" ht="57">
      <c r="A300" s="293" t="s">
        <v>14460</v>
      </c>
      <c r="B300" s="293" t="s">
        <v>1263</v>
      </c>
      <c r="C300" s="293" t="s">
        <v>1539</v>
      </c>
      <c r="D300" s="293" t="s">
        <v>15358</v>
      </c>
      <c r="E300" s="257" t="s">
        <v>15359</v>
      </c>
      <c r="F300" s="346" t="s">
        <v>15360</v>
      </c>
      <c r="G300" s="293" t="s">
        <v>15361</v>
      </c>
      <c r="H300" s="293" t="s">
        <v>15362</v>
      </c>
      <c r="I300" s="293" t="s">
        <v>15363</v>
      </c>
      <c r="J300" s="293" t="s">
        <v>15364</v>
      </c>
      <c r="K300" s="296" t="s">
        <v>15365</v>
      </c>
      <c r="L300" s="308" t="s">
        <v>15366</v>
      </c>
      <c r="M300" s="293" t="s">
        <v>15367</v>
      </c>
    </row>
    <row r="301" spans="1:13" ht="57">
      <c r="A301" s="293" t="s">
        <v>14461</v>
      </c>
      <c r="B301" s="293" t="s">
        <v>1263</v>
      </c>
      <c r="C301" s="293" t="s">
        <v>14472</v>
      </c>
      <c r="D301" s="293" t="s">
        <v>15368</v>
      </c>
      <c r="E301" s="257" t="s">
        <v>15369</v>
      </c>
      <c r="F301" s="346" t="s">
        <v>15501</v>
      </c>
      <c r="G301" s="293" t="s">
        <v>15370</v>
      </c>
      <c r="H301" s="293" t="s">
        <v>15371</v>
      </c>
      <c r="I301" s="293" t="s">
        <v>15372</v>
      </c>
      <c r="J301" s="293" t="s">
        <v>15373</v>
      </c>
      <c r="K301" s="296" t="s">
        <v>15374</v>
      </c>
      <c r="L301" s="308" t="s">
        <v>15375</v>
      </c>
      <c r="M301" s="293" t="s">
        <v>15376</v>
      </c>
    </row>
    <row r="302" spans="1:13" ht="57">
      <c r="A302" s="293" t="s">
        <v>14480</v>
      </c>
      <c r="B302" s="293" t="s">
        <v>1263</v>
      </c>
      <c r="C302" s="293" t="s">
        <v>1565</v>
      </c>
      <c r="D302" s="293" t="s">
        <v>15377</v>
      </c>
      <c r="E302" s="293" t="s">
        <v>15378</v>
      </c>
      <c r="F302" s="346" t="s">
        <v>15502</v>
      </c>
      <c r="G302" s="293" t="s">
        <v>15379</v>
      </c>
      <c r="H302" s="293" t="s">
        <v>15380</v>
      </c>
      <c r="I302" s="293" t="s">
        <v>15381</v>
      </c>
      <c r="J302" s="293" t="s">
        <v>15382</v>
      </c>
      <c r="K302" s="293" t="s">
        <v>15383</v>
      </c>
      <c r="L302" s="293" t="s">
        <v>15384</v>
      </c>
      <c r="M302" s="293" t="s">
        <v>15385</v>
      </c>
    </row>
    <row r="303" spans="1:13" ht="60" customHeight="1">
      <c r="A303" s="293" t="s">
        <v>14462</v>
      </c>
      <c r="B303" s="293" t="s">
        <v>1263</v>
      </c>
      <c r="C303" s="293" t="s">
        <v>1566</v>
      </c>
      <c r="D303" s="293" t="s">
        <v>1510</v>
      </c>
      <c r="E303" s="257" t="s">
        <v>13753</v>
      </c>
      <c r="F303" s="346" t="s">
        <v>2186</v>
      </c>
      <c r="G303" s="293" t="s">
        <v>2187</v>
      </c>
      <c r="H303" s="293" t="s">
        <v>2188</v>
      </c>
      <c r="I303" s="293" t="s">
        <v>2189</v>
      </c>
      <c r="J303" s="293" t="s">
        <v>2190</v>
      </c>
      <c r="K303" s="296" t="s">
        <v>2191</v>
      </c>
      <c r="L303" s="308" t="s">
        <v>2192</v>
      </c>
      <c r="M303" s="293" t="s">
        <v>15256</v>
      </c>
    </row>
    <row r="304" spans="1:13" ht="60" customHeight="1">
      <c r="A304" s="293" t="s">
        <v>1263</v>
      </c>
      <c r="D304" s="293" t="s">
        <v>1509</v>
      </c>
      <c r="E304" s="257" t="s">
        <v>13754</v>
      </c>
      <c r="F304" s="346" t="s">
        <v>2193</v>
      </c>
      <c r="G304" s="293" t="s">
        <v>2194</v>
      </c>
      <c r="H304" s="293" t="s">
        <v>2195</v>
      </c>
      <c r="I304" s="293" t="s">
        <v>2196</v>
      </c>
      <c r="J304" s="293" t="s">
        <v>2197</v>
      </c>
      <c r="K304" s="296" t="s">
        <v>2198</v>
      </c>
      <c r="L304" s="308" t="s">
        <v>2199</v>
      </c>
      <c r="M304" s="293" t="s">
        <v>15257</v>
      </c>
    </row>
    <row r="305" spans="1:13" ht="57" customHeight="1">
      <c r="A305" s="293" t="s">
        <v>14463</v>
      </c>
      <c r="B305" s="293" t="s">
        <v>1263</v>
      </c>
      <c r="C305" s="293" t="s">
        <v>1567</v>
      </c>
      <c r="D305" s="323" t="s">
        <v>13281</v>
      </c>
      <c r="E305" s="257" t="s">
        <v>13755</v>
      </c>
      <c r="F305" s="346" t="s">
        <v>2200</v>
      </c>
      <c r="G305" s="295" t="s">
        <v>2291</v>
      </c>
      <c r="H305" s="293" t="s">
        <v>2201</v>
      </c>
      <c r="I305" s="293" t="s">
        <v>2202</v>
      </c>
      <c r="J305" s="293" t="s">
        <v>2203</v>
      </c>
      <c r="K305" s="296" t="s">
        <v>2204</v>
      </c>
      <c r="L305" s="308" t="s">
        <v>2205</v>
      </c>
      <c r="M305" s="293" t="s">
        <v>15258</v>
      </c>
    </row>
    <row r="306" spans="1:13" ht="57" customHeight="1">
      <c r="A306" s="293" t="s">
        <v>14464</v>
      </c>
      <c r="B306" s="293" t="s">
        <v>1263</v>
      </c>
      <c r="C306" s="293" t="s">
        <v>14429</v>
      </c>
      <c r="D306" s="323" t="s">
        <v>13284</v>
      </c>
      <c r="E306" s="257" t="s">
        <v>13756</v>
      </c>
      <c r="F306" s="346" t="s">
        <v>2206</v>
      </c>
      <c r="G306" s="295" t="s">
        <v>2292</v>
      </c>
      <c r="H306" s="293" t="s">
        <v>2207</v>
      </c>
      <c r="I306" s="293" t="s">
        <v>2208</v>
      </c>
      <c r="J306" s="293" t="s">
        <v>2209</v>
      </c>
      <c r="K306" s="296" t="s">
        <v>2210</v>
      </c>
      <c r="L306" s="308" t="s">
        <v>2211</v>
      </c>
      <c r="M306" s="293" t="s">
        <v>15259</v>
      </c>
    </row>
    <row r="307" spans="1:13" ht="57" customHeight="1">
      <c r="A307" s="293" t="s">
        <v>14465</v>
      </c>
      <c r="B307" s="293" t="s">
        <v>1263</v>
      </c>
      <c r="C307" s="293" t="s">
        <v>14430</v>
      </c>
      <c r="D307" s="323" t="s">
        <v>13283</v>
      </c>
      <c r="E307" s="257" t="s">
        <v>13757</v>
      </c>
      <c r="F307" s="346" t="s">
        <v>2212</v>
      </c>
      <c r="G307" s="295" t="s">
        <v>2294</v>
      </c>
      <c r="H307" s="293" t="s">
        <v>2213</v>
      </c>
      <c r="I307" s="293" t="s">
        <v>2214</v>
      </c>
      <c r="J307" s="293" t="s">
        <v>2215</v>
      </c>
      <c r="K307" s="296" t="s">
        <v>2216</v>
      </c>
      <c r="L307" s="308" t="s">
        <v>2217</v>
      </c>
      <c r="M307" s="293" t="s">
        <v>15260</v>
      </c>
    </row>
    <row r="308" spans="1:13" ht="57" customHeight="1">
      <c r="A308" s="293" t="s">
        <v>14466</v>
      </c>
      <c r="B308" s="293" t="s">
        <v>1263</v>
      </c>
      <c r="C308" s="293" t="s">
        <v>14431</v>
      </c>
      <c r="D308" s="323" t="s">
        <v>13282</v>
      </c>
      <c r="E308" s="257" t="s">
        <v>13758</v>
      </c>
      <c r="F308" s="346" t="s">
        <v>2218</v>
      </c>
      <c r="G308" s="295" t="s">
        <v>2293</v>
      </c>
      <c r="H308" s="293" t="s">
        <v>2219</v>
      </c>
      <c r="I308" s="293" t="s">
        <v>2220</v>
      </c>
      <c r="J308" s="293" t="s">
        <v>2221</v>
      </c>
      <c r="K308" s="296" t="s">
        <v>2222</v>
      </c>
      <c r="L308" s="308" t="s">
        <v>2223</v>
      </c>
      <c r="M308" s="293" t="s">
        <v>15261</v>
      </c>
    </row>
    <row r="309" spans="1:13" ht="28.5" customHeight="1">
      <c r="A309" s="293" t="s">
        <v>14463</v>
      </c>
      <c r="B309" s="293" t="s">
        <v>1263</v>
      </c>
      <c r="C309" s="293" t="s">
        <v>1567</v>
      </c>
      <c r="D309" s="293" t="s">
        <v>12773</v>
      </c>
      <c r="E309" s="288" t="s">
        <v>13759</v>
      </c>
      <c r="F309" s="336" t="s">
        <v>14771</v>
      </c>
      <c r="G309" s="295" t="s">
        <v>2290</v>
      </c>
      <c r="H309" s="293" t="s">
        <v>2231</v>
      </c>
      <c r="I309" s="293" t="s">
        <v>2232</v>
      </c>
      <c r="J309" s="293" t="s">
        <v>2233</v>
      </c>
      <c r="K309" s="289" t="s">
        <v>2234</v>
      </c>
      <c r="L309" s="301" t="s">
        <v>2235</v>
      </c>
      <c r="M309" s="293" t="s">
        <v>15262</v>
      </c>
    </row>
    <row r="310" spans="1:13" ht="28.5" customHeight="1">
      <c r="A310" s="293" t="s">
        <v>14464</v>
      </c>
      <c r="B310" s="293" t="s">
        <v>1263</v>
      </c>
      <c r="C310" s="293" t="s">
        <v>14429</v>
      </c>
      <c r="D310" s="293" t="s">
        <v>12773</v>
      </c>
      <c r="E310" s="288" t="s">
        <v>13759</v>
      </c>
      <c r="F310" s="336" t="s">
        <v>14771</v>
      </c>
      <c r="G310" s="295" t="s">
        <v>2290</v>
      </c>
      <c r="H310" s="293" t="s">
        <v>2231</v>
      </c>
      <c r="I310" s="293" t="s">
        <v>2232</v>
      </c>
      <c r="J310" s="293" t="s">
        <v>2233</v>
      </c>
      <c r="K310" s="289" t="s">
        <v>2234</v>
      </c>
      <c r="L310" s="301" t="s">
        <v>2235</v>
      </c>
      <c r="M310" s="293" t="s">
        <v>15262</v>
      </c>
    </row>
    <row r="311" spans="1:13" ht="28.5" customHeight="1">
      <c r="A311" s="293" t="s">
        <v>14465</v>
      </c>
      <c r="B311" s="293" t="s">
        <v>1263</v>
      </c>
      <c r="C311" s="293" t="s">
        <v>14430</v>
      </c>
      <c r="D311" s="293" t="s">
        <v>12773</v>
      </c>
      <c r="E311" s="288" t="s">
        <v>13759</v>
      </c>
      <c r="F311" s="336" t="s">
        <v>14771</v>
      </c>
      <c r="G311" s="295" t="s">
        <v>2290</v>
      </c>
      <c r="H311" s="293" t="s">
        <v>2231</v>
      </c>
      <c r="I311" s="293" t="s">
        <v>2232</v>
      </c>
      <c r="J311" s="293" t="s">
        <v>2233</v>
      </c>
      <c r="K311" s="289" t="s">
        <v>2234</v>
      </c>
      <c r="L311" s="301" t="s">
        <v>2235</v>
      </c>
      <c r="M311" s="293" t="s">
        <v>15262</v>
      </c>
    </row>
    <row r="312" spans="1:13" ht="28.5" customHeight="1">
      <c r="A312" s="293" t="s">
        <v>14466</v>
      </c>
      <c r="B312" s="293" t="s">
        <v>1263</v>
      </c>
      <c r="C312" s="293" t="s">
        <v>14431</v>
      </c>
      <c r="D312" s="293" t="s">
        <v>12773</v>
      </c>
      <c r="E312" s="288" t="s">
        <v>13759</v>
      </c>
      <c r="F312" s="336" t="s">
        <v>14771</v>
      </c>
      <c r="G312" s="295" t="s">
        <v>2290</v>
      </c>
      <c r="H312" s="293" t="s">
        <v>2231</v>
      </c>
      <c r="I312" s="293" t="s">
        <v>2232</v>
      </c>
      <c r="J312" s="293" t="s">
        <v>2233</v>
      </c>
      <c r="K312" s="289" t="s">
        <v>2234</v>
      </c>
      <c r="L312" s="301" t="s">
        <v>2235</v>
      </c>
      <c r="M312" s="293" t="s">
        <v>15262</v>
      </c>
    </row>
    <row r="313" spans="1:13" ht="42.75" customHeight="1">
      <c r="A313" s="293" t="str">
        <f t="shared" ref="A313" si="17">B313&amp;C313</f>
        <v>Product ListA1</v>
      </c>
      <c r="B313" s="293" t="s">
        <v>1323</v>
      </c>
      <c r="C313" s="293" t="s">
        <v>647</v>
      </c>
      <c r="D313" s="248" t="s">
        <v>665</v>
      </c>
      <c r="E313" s="257" t="s">
        <v>13760</v>
      </c>
      <c r="F313" s="346" t="s">
        <v>14772</v>
      </c>
      <c r="G313" s="293" t="s">
        <v>578</v>
      </c>
      <c r="H313" s="293" t="s">
        <v>399</v>
      </c>
      <c r="I313" s="293" t="s">
        <v>262</v>
      </c>
      <c r="J313" s="249" t="s">
        <v>1379</v>
      </c>
      <c r="K313" s="287" t="s">
        <v>120</v>
      </c>
      <c r="L313" s="300" t="s">
        <v>75</v>
      </c>
      <c r="M313" s="248" t="s">
        <v>15263</v>
      </c>
    </row>
    <row r="314" spans="1:13" ht="14.25" customHeight="1">
      <c r="A314" s="293" t="str">
        <f>B314&amp;C314</f>
        <v>Product ListB5</v>
      </c>
      <c r="B314" s="293" t="s">
        <v>1323</v>
      </c>
      <c r="C314" s="293" t="s">
        <v>974</v>
      </c>
      <c r="D314" s="248" t="s">
        <v>513</v>
      </c>
      <c r="E314" s="257" t="s">
        <v>13761</v>
      </c>
      <c r="F314" s="346" t="s">
        <v>14773</v>
      </c>
      <c r="G314" s="293" t="s">
        <v>579</v>
      </c>
      <c r="H314" s="293" t="s">
        <v>400</v>
      </c>
      <c r="I314" s="293" t="s">
        <v>263</v>
      </c>
      <c r="J314" s="248" t="s">
        <v>1186</v>
      </c>
      <c r="K314" s="287" t="s">
        <v>121</v>
      </c>
      <c r="L314" s="324" t="s">
        <v>76</v>
      </c>
      <c r="M314" s="248" t="s">
        <v>15264</v>
      </c>
    </row>
    <row r="315" spans="1:13" ht="28.5">
      <c r="A315" s="293" t="str">
        <f>B315&amp;C315</f>
        <v>Product ListC5</v>
      </c>
      <c r="B315" s="293" t="s">
        <v>1323</v>
      </c>
      <c r="C315" s="293" t="s">
        <v>995</v>
      </c>
      <c r="D315" s="248" t="s">
        <v>514</v>
      </c>
      <c r="E315" s="257" t="s">
        <v>13762</v>
      </c>
      <c r="F315" s="346" t="s">
        <v>14774</v>
      </c>
      <c r="G315" s="293" t="s">
        <v>580</v>
      </c>
      <c r="H315" s="293" t="s">
        <v>401</v>
      </c>
      <c r="I315" s="293" t="s">
        <v>264</v>
      </c>
      <c r="J315" s="248" t="s">
        <v>962</v>
      </c>
      <c r="K315" s="287" t="s">
        <v>122</v>
      </c>
      <c r="L315" s="324" t="s">
        <v>77</v>
      </c>
      <c r="M315" s="248" t="s">
        <v>15265</v>
      </c>
    </row>
    <row r="316" spans="1:13" ht="28.5">
      <c r="A316" s="293" t="str">
        <f>B316&amp;C316</f>
        <v>Product ListD5</v>
      </c>
      <c r="B316" s="293" t="s">
        <v>1323</v>
      </c>
      <c r="C316" s="293" t="s">
        <v>1324</v>
      </c>
      <c r="D316" s="248" t="s">
        <v>858</v>
      </c>
      <c r="F316" s="346" t="s">
        <v>14727</v>
      </c>
      <c r="G316" s="293" t="s">
        <v>946</v>
      </c>
      <c r="H316" s="293" t="s">
        <v>947</v>
      </c>
      <c r="I316" s="293" t="s">
        <v>948</v>
      </c>
      <c r="J316" s="248" t="s">
        <v>1050</v>
      </c>
      <c r="K316" s="287" t="s">
        <v>949</v>
      </c>
      <c r="L316" s="324" t="s">
        <v>461</v>
      </c>
      <c r="M316" s="248" t="s">
        <v>15171</v>
      </c>
    </row>
    <row r="317" spans="1:13" ht="28.5">
      <c r="A317" s="293" t="str">
        <f>B317&amp;C317</f>
        <v>GeneralCpy</v>
      </c>
      <c r="B317" s="293" t="s">
        <v>496</v>
      </c>
      <c r="C317" s="293" t="s">
        <v>497</v>
      </c>
      <c r="D317" s="293" t="s">
        <v>14201</v>
      </c>
      <c r="E317" s="257" t="s">
        <v>14202</v>
      </c>
      <c r="F317" s="346"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5.5">
      <c r="A320" s="293" t="s">
        <v>858</v>
      </c>
      <c r="D320" s="293" t="s">
        <v>2600</v>
      </c>
      <c r="E320" s="257" t="s">
        <v>14577</v>
      </c>
      <c r="F320" s="293" t="s">
        <v>14775</v>
      </c>
      <c r="G320" s="293" t="s">
        <v>14851</v>
      </c>
      <c r="H320" s="293" t="s">
        <v>14908</v>
      </c>
      <c r="I320" s="293" t="s">
        <v>14966</v>
      </c>
      <c r="J320" s="293" t="s">
        <v>2611</v>
      </c>
      <c r="K320" s="296" t="s">
        <v>15024</v>
      </c>
      <c r="L320" s="300" t="s">
        <v>15078</v>
      </c>
      <c r="M320" s="293" t="s">
        <v>15266</v>
      </c>
    </row>
    <row r="321" spans="1:13" ht="28.5">
      <c r="A321" s="293" t="s">
        <v>858</v>
      </c>
      <c r="D321" s="293" t="s">
        <v>308</v>
      </c>
      <c r="E321" s="257" t="s">
        <v>13763</v>
      </c>
      <c r="F321" s="293" t="s">
        <v>317</v>
      </c>
      <c r="G321" s="174" t="s">
        <v>313</v>
      </c>
      <c r="H321" s="293" t="s">
        <v>134</v>
      </c>
      <c r="I321" s="293" t="s">
        <v>265</v>
      </c>
      <c r="J321" s="293" t="s">
        <v>1380</v>
      </c>
      <c r="K321" s="296" t="s">
        <v>127</v>
      </c>
      <c r="L321" s="325" t="s">
        <v>311</v>
      </c>
      <c r="M321" s="293" t="s">
        <v>15267</v>
      </c>
    </row>
    <row r="322" spans="1:13" ht="28.5">
      <c r="A322" s="293" t="s">
        <v>858</v>
      </c>
      <c r="D322" s="293" t="s">
        <v>309</v>
      </c>
      <c r="E322" s="257" t="s">
        <v>13764</v>
      </c>
      <c r="F322" s="293" t="s">
        <v>318</v>
      </c>
      <c r="G322" s="174" t="s">
        <v>314</v>
      </c>
      <c r="H322" s="293" t="s">
        <v>135</v>
      </c>
      <c r="I322" s="293" t="s">
        <v>266</v>
      </c>
      <c r="J322" s="293" t="s">
        <v>1396</v>
      </c>
      <c r="K322" s="296" t="s">
        <v>128</v>
      </c>
      <c r="L322" s="325" t="s">
        <v>310</v>
      </c>
      <c r="M322" s="293" t="s">
        <v>15268</v>
      </c>
    </row>
    <row r="323" spans="1:13" ht="71.25">
      <c r="A323" s="293" t="s">
        <v>858</v>
      </c>
      <c r="D323" s="293" t="s">
        <v>305</v>
      </c>
      <c r="E323" s="257" t="s">
        <v>14578</v>
      </c>
      <c r="F323" s="293" t="s">
        <v>14776</v>
      </c>
      <c r="G323" s="174" t="s">
        <v>315</v>
      </c>
      <c r="H323" s="293" t="s">
        <v>136</v>
      </c>
      <c r="I323" s="293" t="s">
        <v>267</v>
      </c>
      <c r="J323" s="293" t="s">
        <v>306</v>
      </c>
      <c r="K323" s="296" t="s">
        <v>15025</v>
      </c>
      <c r="L323" s="325" t="s">
        <v>307</v>
      </c>
      <c r="M323" s="293" t="s">
        <v>15269</v>
      </c>
    </row>
    <row r="324" spans="1:13" ht="28.5">
      <c r="A324" s="293" t="s">
        <v>858</v>
      </c>
      <c r="D324" s="293" t="s">
        <v>299</v>
      </c>
      <c r="E324" s="257" t="s">
        <v>13765</v>
      </c>
      <c r="F324" s="293" t="s">
        <v>319</v>
      </c>
      <c r="G324" s="174" t="s">
        <v>300</v>
      </c>
      <c r="H324" s="293" t="s">
        <v>137</v>
      </c>
      <c r="I324" s="293" t="s">
        <v>268</v>
      </c>
      <c r="J324" s="293" t="s">
        <v>1381</v>
      </c>
      <c r="K324" s="296" t="s">
        <v>131</v>
      </c>
      <c r="L324" s="325" t="s">
        <v>312</v>
      </c>
      <c r="M324" s="293" t="s">
        <v>15270</v>
      </c>
    </row>
    <row r="325" spans="1:13" ht="42.75">
      <c r="A325" s="293" t="s">
        <v>858</v>
      </c>
      <c r="D325" s="293" t="s">
        <v>301</v>
      </c>
      <c r="E325" s="257" t="s">
        <v>13766</v>
      </c>
      <c r="F325" s="293" t="s">
        <v>320</v>
      </c>
      <c r="G325" s="174" t="s">
        <v>302</v>
      </c>
      <c r="H325" s="293" t="s">
        <v>138</v>
      </c>
      <c r="I325" s="293" t="s">
        <v>269</v>
      </c>
      <c r="J325" s="293" t="s">
        <v>1382</v>
      </c>
      <c r="K325" s="296" t="s">
        <v>129</v>
      </c>
      <c r="L325" s="325" t="s">
        <v>303</v>
      </c>
      <c r="M325" s="293" t="s">
        <v>15271</v>
      </c>
    </row>
    <row r="326" spans="1:13" ht="85.5">
      <c r="A326" s="293" t="s">
        <v>858</v>
      </c>
      <c r="D326" s="293" t="s">
        <v>304</v>
      </c>
      <c r="E326" s="257" t="s">
        <v>13767</v>
      </c>
      <c r="F326" s="334" t="s">
        <v>15474</v>
      </c>
      <c r="G326" s="174" t="s">
        <v>316</v>
      </c>
      <c r="H326" s="293" t="s">
        <v>15475</v>
      </c>
      <c r="I326" s="293" t="s">
        <v>270</v>
      </c>
      <c r="J326" s="293" t="s">
        <v>1383</v>
      </c>
      <c r="K326" s="296" t="s">
        <v>130</v>
      </c>
      <c r="L326" s="325" t="s">
        <v>15476</v>
      </c>
      <c r="M326" s="293" t="s">
        <v>15272</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DEE780-EC47-41FC-861F-1BDFE6C5F8C3}">
  <ds:schemaRefs>
    <ds:schemaRef ds:uri="http://purl.org/dc/elements/1.1/"/>
    <ds:schemaRef ds:uri="http://schemas.microsoft.com/office/2006/metadata/properties"/>
    <ds:schemaRef ds:uri="http://purl.org/dc/term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3.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Richard T Cataldi</cp:lastModifiedBy>
  <cp:lastPrinted>2015-04-21T20:47:43Z</cp:lastPrinted>
  <dcterms:created xsi:type="dcterms:W3CDTF">2010-06-21T21:00:23Z</dcterms:created>
  <dcterms:modified xsi:type="dcterms:W3CDTF">2020-11-05T14:59:26Z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